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tteridgeHouse-Kami\Desktop\To do\MCMO GM 14.04.2025\"/>
    </mc:Choice>
  </mc:AlternateContent>
  <xr:revisionPtr revIDLastSave="0" documentId="13_ncr:1_{D301A709-E7B2-4DE9-AB49-ADE3F1318715}" xr6:coauthVersionLast="47" xr6:coauthVersionMax="47" xr10:uidLastSave="{00000000-0000-0000-0000-000000000000}"/>
  <bookViews>
    <workbookView xWindow="-108" yWindow="-108" windowWidth="23256" windowHeight="12456" tabRatio="734" firstSheet="2" activeTab="2" xr2:uid="{00000000-000D-0000-FFFF-FFFF00000000}"/>
  </bookViews>
  <sheets>
    <sheet name="Chart 16-17" sheetId="43" state="hidden" r:id="rId1"/>
    <sheet name="Mgt account 18-19" sheetId="44" state="hidden" r:id="rId2"/>
    <sheet name="Budget 2025-26" sheetId="50" r:id="rId3"/>
    <sheet name="Notes to AC 16-17." sheetId="38" state="hidden" r:id="rId4"/>
    <sheet name="Journal 16-17" sheetId="47" state="hidden" r:id="rId5"/>
    <sheet name="Notes to AC 15-16" sheetId="45" state="hidden" r:id="rId6"/>
    <sheet name="Chart 15-16" sheetId="36" state="hidden" r:id="rId7"/>
    <sheet name="Mgt account 15-16" sheetId="37" state="hidden" r:id="rId8"/>
    <sheet name="Block cost 15-16" sheetId="39" state="hidden" r:id="rId9"/>
    <sheet name="Mgt ac (4 Allison SC) 15-16" sheetId="40" state="hidden" r:id="rId10"/>
    <sheet name="Journal 15-16" sheetId="42" state="hidden" r:id="rId11"/>
  </sheets>
  <externalReferences>
    <externalReference r:id="rId12"/>
  </externalReferences>
  <definedNames>
    <definedName name="_xlnm._FilterDatabase" localSheetId="7" hidden="1">'Mgt account 15-16'!$A$40:$B$78</definedName>
    <definedName name="_xlnm._FilterDatabase" localSheetId="1" hidden="1">'Mgt account 18-19'!$A$39:$B$64</definedName>
    <definedName name="_xlnm.Print_Area" localSheetId="8">'Block cost 15-16'!$A$1:$H$90</definedName>
    <definedName name="_xlnm.Print_Area" localSheetId="2">'Budget 2025-26'!$A$1:$E$144</definedName>
    <definedName name="_xlnm.Print_Area" localSheetId="6">'Chart 15-16'!$A$1:$E$29</definedName>
    <definedName name="_xlnm.Print_Area" localSheetId="0">'Chart 16-17'!$A$1:$E$29</definedName>
    <definedName name="_xlnm.Print_Area" localSheetId="9">'Mgt ac (4 Allison SC) 15-16'!$A$1:$E$219</definedName>
    <definedName name="_xlnm.Print_Area" localSheetId="7">'Mgt account 15-16'!$A$1:$G$221</definedName>
    <definedName name="_xlnm.Print_Area" localSheetId="5">'Notes to AC 15-16'!$A$1:$F$56</definedName>
    <definedName name="_xlnm.Print_Area" localSheetId="3">'Notes to AC 16-17.'!$A$1:$F$56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0" i="50" l="1"/>
  <c r="D98" i="50"/>
  <c r="D75" i="50"/>
  <c r="D83" i="50"/>
  <c r="D85" i="50"/>
  <c r="D88" i="50"/>
  <c r="D60" i="50"/>
  <c r="D59" i="50"/>
  <c r="D50" i="50"/>
  <c r="D48" i="50"/>
  <c r="D47" i="50"/>
  <c r="D45" i="50"/>
  <c r="D42" i="50"/>
  <c r="D41" i="50"/>
  <c r="D37" i="50"/>
  <c r="D32" i="50"/>
  <c r="D31" i="50"/>
  <c r="D30" i="50"/>
  <c r="D28" i="50"/>
  <c r="D22" i="50"/>
  <c r="D21" i="50"/>
  <c r="D20" i="50"/>
  <c r="D18" i="50"/>
  <c r="D17" i="50"/>
  <c r="D9" i="50"/>
  <c r="D6" i="50"/>
  <c r="D7" i="50"/>
  <c r="D8" i="50"/>
  <c r="D5" i="50"/>
  <c r="D25" i="50" l="1"/>
  <c r="D51" i="50"/>
  <c r="E56" i="50" l="1"/>
  <c r="E57" i="50"/>
  <c r="E61" i="50"/>
  <c r="E62" i="50"/>
  <c r="E67" i="50" l="1"/>
  <c r="C138" i="50"/>
  <c r="C141" i="50"/>
  <c r="D141" i="50"/>
  <c r="D16" i="50"/>
  <c r="D27" i="50" s="1"/>
  <c r="C107" i="50"/>
  <c r="C114" i="50" s="1"/>
  <c r="C97" i="50"/>
  <c r="C93" i="50"/>
  <c r="C112" i="50" s="1"/>
  <c r="C69" i="50"/>
  <c r="C67" i="50"/>
  <c r="C123" i="50" s="1"/>
  <c r="C128" i="50" s="1"/>
  <c r="C53" i="50"/>
  <c r="C51" i="50"/>
  <c r="C27" i="50"/>
  <c r="C25" i="50"/>
  <c r="C16" i="50"/>
  <c r="C14" i="50"/>
  <c r="C109" i="50" s="1"/>
  <c r="E93" i="50"/>
  <c r="C116" i="50" l="1"/>
  <c r="C124" i="50"/>
  <c r="C111" i="50"/>
  <c r="C121" i="50" s="1"/>
  <c r="C113" i="50"/>
  <c r="C122" i="50"/>
  <c r="C129" i="50" s="1"/>
  <c r="D138" i="50"/>
  <c r="D93" i="50"/>
  <c r="C95" i="50"/>
  <c r="C118" i="50" l="1"/>
  <c r="C125" i="50"/>
  <c r="C133" i="50" s="1"/>
  <c r="E138" i="50"/>
  <c r="C135" i="50" l="1"/>
  <c r="C142" i="50" s="1"/>
  <c r="C143" i="50" s="1"/>
  <c r="C134" i="50"/>
  <c r="C139" i="50" s="1"/>
  <c r="C140" i="50" s="1"/>
  <c r="D14" i="50"/>
  <c r="E51" i="50"/>
  <c r="D112" i="50"/>
  <c r="D122" i="50" s="1"/>
  <c r="D129" i="50" s="1"/>
  <c r="D67" i="50"/>
  <c r="D123" i="50" s="1"/>
  <c r="D128" i="50" s="1"/>
  <c r="E14" i="50"/>
  <c r="E109" i="50" s="1"/>
  <c r="E112" i="50"/>
  <c r="E122" i="50" s="1"/>
  <c r="E129" i="50" s="1"/>
  <c r="E25" i="50"/>
  <c r="E111" i="50" s="1"/>
  <c r="E141" i="50"/>
  <c r="D53" i="50"/>
  <c r="D69" i="50" s="1"/>
  <c r="D97" i="50" s="1"/>
  <c r="D120" i="50" s="1"/>
  <c r="D187" i="44"/>
  <c r="F145" i="44"/>
  <c r="F155" i="44" s="1"/>
  <c r="D145" i="44"/>
  <c r="D155" i="44" s="1"/>
  <c r="C145" i="44"/>
  <c r="C155" i="44"/>
  <c r="B7" i="43" s="1"/>
  <c r="G144" i="44"/>
  <c r="E144" i="44"/>
  <c r="H144" i="44" s="1"/>
  <c r="G143" i="44"/>
  <c r="E143" i="44"/>
  <c r="H143" i="44" s="1"/>
  <c r="G142" i="44"/>
  <c r="E142" i="44"/>
  <c r="H142" i="44" s="1"/>
  <c r="G141" i="44"/>
  <c r="E141" i="44"/>
  <c r="H141" i="44" s="1"/>
  <c r="G140" i="44"/>
  <c r="E140" i="44"/>
  <c r="H140" i="44" s="1"/>
  <c r="G139" i="44"/>
  <c r="E139" i="44"/>
  <c r="H139" i="44" s="1"/>
  <c r="G138" i="44"/>
  <c r="E138" i="44"/>
  <c r="H138" i="44"/>
  <c r="G137" i="44"/>
  <c r="E137" i="44"/>
  <c r="H137" i="44" s="1"/>
  <c r="G136" i="44"/>
  <c r="E136" i="44"/>
  <c r="H136" i="44" s="1"/>
  <c r="G135" i="44"/>
  <c r="E135" i="44"/>
  <c r="G134" i="44"/>
  <c r="E134" i="44"/>
  <c r="F130" i="44"/>
  <c r="F153" i="44"/>
  <c r="D130" i="44"/>
  <c r="C130" i="44"/>
  <c r="G129" i="44"/>
  <c r="G128" i="44"/>
  <c r="G127" i="44"/>
  <c r="G126" i="44"/>
  <c r="G125" i="44"/>
  <c r="G124" i="44"/>
  <c r="G123" i="44"/>
  <c r="G122" i="44"/>
  <c r="G121" i="44"/>
  <c r="G120" i="44"/>
  <c r="G119" i="44"/>
  <c r="G118" i="44"/>
  <c r="D113" i="44"/>
  <c r="D150" i="44" s="1"/>
  <c r="D167" i="44" s="1"/>
  <c r="D174" i="44" s="1"/>
  <c r="C113" i="44"/>
  <c r="C150" i="44" s="1"/>
  <c r="G112" i="44"/>
  <c r="G111" i="44"/>
  <c r="G110" i="44"/>
  <c r="G109" i="44"/>
  <c r="G108" i="44"/>
  <c r="G107" i="44"/>
  <c r="G106" i="44"/>
  <c r="G105" i="44"/>
  <c r="G104" i="44"/>
  <c r="G103" i="44"/>
  <c r="G102" i="44"/>
  <c r="G101" i="44"/>
  <c r="G100" i="44"/>
  <c r="G99" i="44"/>
  <c r="G98" i="44"/>
  <c r="G97" i="44"/>
  <c r="G96" i="44"/>
  <c r="G95" i="44"/>
  <c r="G94" i="44"/>
  <c r="F93" i="44"/>
  <c r="G93" i="44"/>
  <c r="G92" i="44"/>
  <c r="G91" i="44"/>
  <c r="G90" i="44"/>
  <c r="F89" i="44"/>
  <c r="G89" i="44" s="1"/>
  <c r="G88" i="44"/>
  <c r="G87" i="44"/>
  <c r="F84" i="44"/>
  <c r="F157" i="44" s="1"/>
  <c r="F168" i="44" s="1"/>
  <c r="F173" i="44" s="1"/>
  <c r="D84" i="44"/>
  <c r="D157" i="44" s="1"/>
  <c r="D168" i="44" s="1"/>
  <c r="D173" i="44" s="1"/>
  <c r="G83" i="44"/>
  <c r="G82" i="44"/>
  <c r="G81" i="44"/>
  <c r="G80" i="44"/>
  <c r="G79" i="44"/>
  <c r="G78" i="44"/>
  <c r="G77" i="44"/>
  <c r="G76" i="44"/>
  <c r="G75" i="44"/>
  <c r="C75" i="44"/>
  <c r="G74" i="44"/>
  <c r="C74" i="44"/>
  <c r="G73" i="44"/>
  <c r="G72" i="44"/>
  <c r="G71" i="44"/>
  <c r="G70" i="44"/>
  <c r="C70" i="44"/>
  <c r="G69" i="44"/>
  <c r="C69" i="44"/>
  <c r="G68" i="44"/>
  <c r="F64" i="44"/>
  <c r="D64" i="44"/>
  <c r="C64" i="44"/>
  <c r="G63" i="44"/>
  <c r="G62" i="44"/>
  <c r="G61" i="44"/>
  <c r="G60" i="44"/>
  <c r="G59" i="44"/>
  <c r="G58" i="44"/>
  <c r="G57" i="44"/>
  <c r="G56" i="44"/>
  <c r="G55" i="44"/>
  <c r="G54" i="44"/>
  <c r="G53" i="44"/>
  <c r="G52" i="44"/>
  <c r="G51" i="44"/>
  <c r="G50" i="44"/>
  <c r="G49" i="44"/>
  <c r="H48" i="44"/>
  <c r="G48" i="44"/>
  <c r="G47" i="44"/>
  <c r="G46" i="44"/>
  <c r="G45" i="44"/>
  <c r="G44" i="44"/>
  <c r="G43" i="44"/>
  <c r="G42" i="44"/>
  <c r="G41" i="44"/>
  <c r="G40" i="44"/>
  <c r="D37" i="44"/>
  <c r="C37" i="44"/>
  <c r="C149" i="44" s="1"/>
  <c r="G36" i="44"/>
  <c r="G35" i="44"/>
  <c r="G34" i="44"/>
  <c r="G33" i="44"/>
  <c r="G32" i="44"/>
  <c r="G31" i="44"/>
  <c r="G30" i="44"/>
  <c r="G29" i="44"/>
  <c r="F28" i="44"/>
  <c r="G28" i="44" s="1"/>
  <c r="C27" i="44"/>
  <c r="C39" i="44" s="1"/>
  <c r="C66" i="44" s="1"/>
  <c r="C86" i="44" s="1"/>
  <c r="C117" i="44" s="1"/>
  <c r="C133" i="44" s="1"/>
  <c r="C165" i="44" s="1"/>
  <c r="F25" i="44"/>
  <c r="F147" i="44" s="1"/>
  <c r="C25" i="44"/>
  <c r="C147" i="44" s="1"/>
  <c r="G24" i="44"/>
  <c r="G23" i="44"/>
  <c r="G22" i="44"/>
  <c r="G21" i="44"/>
  <c r="G20" i="44"/>
  <c r="G19" i="44"/>
  <c r="G18" i="44"/>
  <c r="G17" i="44"/>
  <c r="G16" i="44"/>
  <c r="G15" i="44"/>
  <c r="G14" i="44"/>
  <c r="G13" i="44"/>
  <c r="G12" i="44"/>
  <c r="G11" i="44"/>
  <c r="G10" i="44"/>
  <c r="G9" i="44"/>
  <c r="D8" i="44"/>
  <c r="G7" i="44"/>
  <c r="I6" i="44"/>
  <c r="I7" i="44" s="1"/>
  <c r="E7" i="44" s="1"/>
  <c r="H7" i="44" s="1"/>
  <c r="G6" i="44"/>
  <c r="E6" i="44"/>
  <c r="H6" i="44" s="1"/>
  <c r="G5" i="44"/>
  <c r="E5" i="44"/>
  <c r="F113" i="44"/>
  <c r="F150" i="44"/>
  <c r="D25" i="44"/>
  <c r="D184" i="44"/>
  <c r="H5" i="44"/>
  <c r="C162" i="44"/>
  <c r="H134" i="44"/>
  <c r="E16" i="50"/>
  <c r="E27" i="50" s="1"/>
  <c r="E53" i="50" s="1"/>
  <c r="B51" i="38"/>
  <c r="E74" i="38"/>
  <c r="G74" i="38" s="1"/>
  <c r="E68" i="38"/>
  <c r="D60" i="38"/>
  <c r="P60" i="38" s="1"/>
  <c r="F63" i="38"/>
  <c r="F78" i="38" s="1"/>
  <c r="F80" i="38" s="1"/>
  <c r="B45" i="38"/>
  <c r="D45" i="38" s="1"/>
  <c r="D1" i="43"/>
  <c r="O84" i="45"/>
  <c r="O85" i="45" s="1"/>
  <c r="I81" i="45"/>
  <c r="K80" i="45"/>
  <c r="E80" i="45"/>
  <c r="G77" i="45"/>
  <c r="G76" i="45"/>
  <c r="K75" i="45"/>
  <c r="G75" i="45"/>
  <c r="E74" i="45"/>
  <c r="G73" i="45"/>
  <c r="G72" i="45"/>
  <c r="G71" i="45"/>
  <c r="G70" i="45"/>
  <c r="G69" i="45"/>
  <c r="E68" i="45"/>
  <c r="G68" i="45" s="1"/>
  <c r="G67" i="45"/>
  <c r="H67" i="45" s="1"/>
  <c r="G66" i="45"/>
  <c r="G65" i="45"/>
  <c r="G64" i="45"/>
  <c r="F63" i="45"/>
  <c r="K62" i="45"/>
  <c r="K63" i="45"/>
  <c r="I62" i="45"/>
  <c r="O61" i="45"/>
  <c r="H61" i="45"/>
  <c r="D61" i="45" s="1"/>
  <c r="O60" i="45"/>
  <c r="D60" i="45"/>
  <c r="G60" i="45"/>
  <c r="L56" i="45"/>
  <c r="M56" i="45" s="1"/>
  <c r="N56" i="45" s="1"/>
  <c r="D55" i="45"/>
  <c r="D58" i="45" s="1"/>
  <c r="B55" i="45"/>
  <c r="C52" i="45"/>
  <c r="E51" i="45"/>
  <c r="C51" i="45"/>
  <c r="D46" i="45"/>
  <c r="C45" i="45"/>
  <c r="D45" i="45" s="1"/>
  <c r="B42" i="45"/>
  <c r="B40" i="45"/>
  <c r="B36" i="45"/>
  <c r="B29" i="45"/>
  <c r="D25" i="45"/>
  <c r="C25" i="45"/>
  <c r="B25" i="45"/>
  <c r="E24" i="45"/>
  <c r="E23" i="45"/>
  <c r="E22" i="45"/>
  <c r="E25" i="45" s="1"/>
  <c r="D18" i="45"/>
  <c r="C18" i="45"/>
  <c r="D16" i="45"/>
  <c r="C16" i="45"/>
  <c r="B16" i="45"/>
  <c r="E13" i="45"/>
  <c r="D12" i="45"/>
  <c r="C12" i="45"/>
  <c r="B11" i="45"/>
  <c r="E11" i="45" s="1"/>
  <c r="E6" i="45"/>
  <c r="D5" i="45"/>
  <c r="C5" i="45"/>
  <c r="B5" i="45"/>
  <c r="E5" i="45" s="1"/>
  <c r="E4" i="45"/>
  <c r="E31" i="37"/>
  <c r="D133" i="40"/>
  <c r="E133" i="40" s="1"/>
  <c r="D119" i="40"/>
  <c r="D116" i="40"/>
  <c r="E116" i="40" s="1"/>
  <c r="U39" i="37"/>
  <c r="D168" i="40"/>
  <c r="E168" i="40" s="1"/>
  <c r="E36" i="37"/>
  <c r="E69" i="39"/>
  <c r="F69" i="39" s="1"/>
  <c r="F63" i="39"/>
  <c r="I100" i="37"/>
  <c r="D100" i="37"/>
  <c r="G100" i="37"/>
  <c r="D117" i="40"/>
  <c r="E117" i="40" s="1"/>
  <c r="C134" i="40"/>
  <c r="J134" i="40" s="1"/>
  <c r="C128" i="40"/>
  <c r="E42" i="37"/>
  <c r="O84" i="38"/>
  <c r="O85" i="38" s="1"/>
  <c r="H240" i="37"/>
  <c r="G241" i="37"/>
  <c r="D83" i="40"/>
  <c r="J137" i="37"/>
  <c r="D174" i="40"/>
  <c r="E174" i="40" s="1"/>
  <c r="D79" i="39"/>
  <c r="E160" i="40"/>
  <c r="E104" i="40"/>
  <c r="E114" i="40"/>
  <c r="D2" i="40"/>
  <c r="D1" i="40"/>
  <c r="D159" i="40"/>
  <c r="D158" i="40"/>
  <c r="D157" i="40"/>
  <c r="D156" i="40"/>
  <c r="E156" i="40" s="1"/>
  <c r="D155" i="40"/>
  <c r="D154" i="40"/>
  <c r="D153" i="40"/>
  <c r="D152" i="40"/>
  <c r="D151" i="40"/>
  <c r="D150" i="40"/>
  <c r="D149" i="40"/>
  <c r="D148" i="40"/>
  <c r="D147" i="40"/>
  <c r="D146" i="40"/>
  <c r="D145" i="40"/>
  <c r="D144" i="40"/>
  <c r="D143" i="40"/>
  <c r="D142" i="40"/>
  <c r="D141" i="40"/>
  <c r="D140" i="40"/>
  <c r="D132" i="40"/>
  <c r="D126" i="40"/>
  <c r="E126" i="40" s="1"/>
  <c r="D122" i="40"/>
  <c r="D113" i="40"/>
  <c r="D112" i="40"/>
  <c r="D111" i="40"/>
  <c r="D110" i="40"/>
  <c r="D109" i="40"/>
  <c r="D108" i="40"/>
  <c r="D106" i="40"/>
  <c r="D105" i="40"/>
  <c r="D103" i="40"/>
  <c r="E103" i="40" s="1"/>
  <c r="D102" i="40"/>
  <c r="E102" i="40" s="1"/>
  <c r="D101" i="40"/>
  <c r="D100" i="40"/>
  <c r="D99" i="40"/>
  <c r="D98" i="40"/>
  <c r="D96" i="40"/>
  <c r="D87" i="40"/>
  <c r="D88" i="40"/>
  <c r="D180" i="40" s="1"/>
  <c r="D197" i="40" s="1"/>
  <c r="D82" i="40"/>
  <c r="E82" i="40" s="1"/>
  <c r="D81" i="40"/>
  <c r="D80" i="40"/>
  <c r="E80" i="40" s="1"/>
  <c r="D79" i="40"/>
  <c r="D78" i="40"/>
  <c r="D77" i="40"/>
  <c r="E77" i="40" s="1"/>
  <c r="D76" i="40"/>
  <c r="D75" i="40"/>
  <c r="D74" i="40"/>
  <c r="D70" i="40"/>
  <c r="D69" i="40"/>
  <c r="D68" i="40"/>
  <c r="D67" i="40"/>
  <c r="D66" i="40"/>
  <c r="D65" i="40"/>
  <c r="E65" i="40" s="1"/>
  <c r="D64" i="40"/>
  <c r="E64" i="40" s="1"/>
  <c r="D62" i="40"/>
  <c r="E62" i="40" s="1"/>
  <c r="D61" i="40"/>
  <c r="D60" i="40"/>
  <c r="D59" i="40"/>
  <c r="M59" i="40"/>
  <c r="D58" i="40"/>
  <c r="D57" i="40"/>
  <c r="D56" i="40"/>
  <c r="D55" i="40"/>
  <c r="D54" i="40"/>
  <c r="D53" i="40"/>
  <c r="E53" i="40" s="1"/>
  <c r="D52" i="40"/>
  <c r="D51" i="40"/>
  <c r="D50" i="40"/>
  <c r="D49" i="40"/>
  <c r="D48" i="40"/>
  <c r="D47" i="40"/>
  <c r="D46" i="40"/>
  <c r="D45" i="40"/>
  <c r="E45" i="40" s="1"/>
  <c r="D44" i="40"/>
  <c r="D43" i="40"/>
  <c r="E43" i="40"/>
  <c r="D42" i="40"/>
  <c r="D33" i="40"/>
  <c r="E33" i="40" s="1"/>
  <c r="D23" i="40"/>
  <c r="E23" i="40" s="1"/>
  <c r="D22" i="40"/>
  <c r="D21" i="40"/>
  <c r="D20" i="40"/>
  <c r="D19" i="40"/>
  <c r="D18" i="40"/>
  <c r="D17" i="40"/>
  <c r="D15" i="40"/>
  <c r="E15" i="40" s="1"/>
  <c r="D13" i="40"/>
  <c r="D12" i="40"/>
  <c r="D10" i="40"/>
  <c r="D7" i="40"/>
  <c r="D16" i="40"/>
  <c r="D14" i="40"/>
  <c r="D11" i="40"/>
  <c r="D9" i="40"/>
  <c r="D8" i="40"/>
  <c r="D6" i="40"/>
  <c r="C122" i="40"/>
  <c r="E122" i="40" s="1"/>
  <c r="C113" i="40"/>
  <c r="C112" i="40"/>
  <c r="C103" i="40"/>
  <c r="J103" i="40"/>
  <c r="E45" i="37"/>
  <c r="E41" i="37"/>
  <c r="U41" i="37" s="1"/>
  <c r="I10" i="40"/>
  <c r="I11" i="40"/>
  <c r="I12" i="40"/>
  <c r="I13" i="40"/>
  <c r="I14" i="40"/>
  <c r="I15" i="40"/>
  <c r="I16" i="40"/>
  <c r="I17" i="40"/>
  <c r="I18" i="40"/>
  <c r="J18" i="40" s="1"/>
  <c r="I19" i="40"/>
  <c r="I20" i="40"/>
  <c r="J20" i="40" s="1"/>
  <c r="I21" i="40"/>
  <c r="I22" i="40"/>
  <c r="I23" i="40"/>
  <c r="I24" i="40"/>
  <c r="I25" i="40"/>
  <c r="I9" i="40"/>
  <c r="I8" i="40"/>
  <c r="I6" i="40"/>
  <c r="H6" i="40"/>
  <c r="C141" i="40"/>
  <c r="C142" i="40"/>
  <c r="C143" i="40"/>
  <c r="C144" i="40"/>
  <c r="C145" i="40"/>
  <c r="C146" i="40"/>
  <c r="C147" i="40"/>
  <c r="C148" i="40"/>
  <c r="C149" i="40"/>
  <c r="E149" i="40" s="1"/>
  <c r="C150" i="40"/>
  <c r="C151" i="40"/>
  <c r="C152" i="40"/>
  <c r="J152" i="40" s="1"/>
  <c r="C153" i="40"/>
  <c r="C154" i="40"/>
  <c r="E154" i="40"/>
  <c r="C155" i="40"/>
  <c r="C156" i="40"/>
  <c r="C157" i="40"/>
  <c r="C158" i="40"/>
  <c r="C159" i="40"/>
  <c r="C140" i="40"/>
  <c r="C132" i="40"/>
  <c r="C126" i="40"/>
  <c r="J126" i="40" s="1"/>
  <c r="J129" i="40" s="1"/>
  <c r="J181" i="40" s="1"/>
  <c r="J198" i="40" s="1"/>
  <c r="C129" i="40"/>
  <c r="C181" i="40" s="1"/>
  <c r="C198" i="40" s="1"/>
  <c r="C110" i="40"/>
  <c r="C111" i="40"/>
  <c r="C115" i="40"/>
  <c r="C117" i="40"/>
  <c r="C118" i="40"/>
  <c r="C119" i="40"/>
  <c r="C120" i="40"/>
  <c r="C121" i="40"/>
  <c r="J121" i="40" s="1"/>
  <c r="C109" i="40"/>
  <c r="E109" i="40" s="1"/>
  <c r="C108" i="40"/>
  <c r="J108" i="40" s="1"/>
  <c r="E108" i="40"/>
  <c r="C92" i="40"/>
  <c r="E92" i="40" s="1"/>
  <c r="C93" i="40"/>
  <c r="E93" i="40" s="1"/>
  <c r="C94" i="40"/>
  <c r="J94" i="40" s="1"/>
  <c r="C95" i="40"/>
  <c r="C96" i="40"/>
  <c r="C97" i="40"/>
  <c r="C98" i="40"/>
  <c r="C99" i="40"/>
  <c r="C100" i="40"/>
  <c r="C101" i="40"/>
  <c r="C102" i="40"/>
  <c r="C105" i="40"/>
  <c r="C106" i="40"/>
  <c r="C107" i="40"/>
  <c r="J107" i="40" s="1"/>
  <c r="C91" i="40"/>
  <c r="C87" i="40"/>
  <c r="E87" i="40" s="1"/>
  <c r="E88" i="40" s="1"/>
  <c r="C83" i="40"/>
  <c r="C82" i="40"/>
  <c r="J82" i="40" s="1"/>
  <c r="C81" i="40"/>
  <c r="C79" i="40"/>
  <c r="C77" i="40"/>
  <c r="C76" i="40"/>
  <c r="J76" i="40" s="1"/>
  <c r="E76" i="40"/>
  <c r="C78" i="40"/>
  <c r="C75" i="40"/>
  <c r="C80" i="40"/>
  <c r="C74" i="40"/>
  <c r="C43" i="40"/>
  <c r="C44" i="40"/>
  <c r="C45" i="40"/>
  <c r="C46" i="40"/>
  <c r="E46" i="40" s="1"/>
  <c r="C47" i="40"/>
  <c r="E47" i="40" s="1"/>
  <c r="C48" i="40"/>
  <c r="E48" i="40"/>
  <c r="C49" i="40"/>
  <c r="J49" i="40" s="1"/>
  <c r="C50" i="40"/>
  <c r="E50" i="40"/>
  <c r="C51" i="40"/>
  <c r="C52" i="40"/>
  <c r="C53" i="40"/>
  <c r="C54" i="40"/>
  <c r="C55" i="40"/>
  <c r="C56" i="40"/>
  <c r="C57" i="40"/>
  <c r="E57" i="40" s="1"/>
  <c r="C58" i="40"/>
  <c r="E58" i="40" s="1"/>
  <c r="C59" i="40"/>
  <c r="J59" i="40" s="1"/>
  <c r="C60" i="40"/>
  <c r="C61" i="40"/>
  <c r="C62" i="40"/>
  <c r="C63" i="40"/>
  <c r="C64" i="40"/>
  <c r="C65" i="40"/>
  <c r="C66" i="40"/>
  <c r="C67" i="40"/>
  <c r="C68" i="40"/>
  <c r="C69" i="40"/>
  <c r="E69" i="40"/>
  <c r="C70" i="40"/>
  <c r="E70" i="40" s="1"/>
  <c r="C42" i="40"/>
  <c r="C30" i="40"/>
  <c r="C31" i="40"/>
  <c r="C32" i="40"/>
  <c r="C33" i="40"/>
  <c r="C34" i="40"/>
  <c r="C35" i="40"/>
  <c r="C36" i="40"/>
  <c r="J36" i="40" s="1"/>
  <c r="C37" i="40"/>
  <c r="C38" i="40"/>
  <c r="C29" i="40"/>
  <c r="C7" i="40"/>
  <c r="C8" i="40"/>
  <c r="C9" i="40"/>
  <c r="C10" i="40"/>
  <c r="C11" i="40"/>
  <c r="E11" i="40" s="1"/>
  <c r="C12" i="40"/>
  <c r="C13" i="40"/>
  <c r="J13" i="40" s="1"/>
  <c r="C14" i="40"/>
  <c r="E14" i="40" s="1"/>
  <c r="C15" i="40"/>
  <c r="J15" i="40" s="1"/>
  <c r="C16" i="40"/>
  <c r="C17" i="40"/>
  <c r="E17" i="40" s="1"/>
  <c r="C18" i="40"/>
  <c r="C19" i="40"/>
  <c r="C20" i="40"/>
  <c r="E20" i="40" s="1"/>
  <c r="C21" i="40"/>
  <c r="E21" i="40" s="1"/>
  <c r="C22" i="40"/>
  <c r="C23" i="40"/>
  <c r="C24" i="40"/>
  <c r="J24" i="40"/>
  <c r="C25" i="40"/>
  <c r="J25" i="40" s="1"/>
  <c r="C6" i="40"/>
  <c r="J6" i="40" s="1"/>
  <c r="I6" i="39"/>
  <c r="I7" i="39"/>
  <c r="I8" i="39"/>
  <c r="I9" i="39"/>
  <c r="I10" i="39"/>
  <c r="I11" i="39"/>
  <c r="I12" i="39"/>
  <c r="I13" i="39"/>
  <c r="I14" i="39"/>
  <c r="I5" i="39"/>
  <c r="D1" i="36"/>
  <c r="H207" i="40"/>
  <c r="F207" i="40"/>
  <c r="H201" i="40"/>
  <c r="G201" i="40"/>
  <c r="F201" i="40"/>
  <c r="M200" i="40"/>
  <c r="L200" i="40"/>
  <c r="K200" i="40"/>
  <c r="H200" i="40"/>
  <c r="G200" i="40"/>
  <c r="F200" i="40"/>
  <c r="H199" i="40"/>
  <c r="G199" i="40"/>
  <c r="F199" i="40"/>
  <c r="H198" i="40"/>
  <c r="G198" i="40"/>
  <c r="F198" i="40"/>
  <c r="H197" i="40"/>
  <c r="G197" i="40"/>
  <c r="F197" i="40"/>
  <c r="H196" i="40"/>
  <c r="G196" i="40"/>
  <c r="F196" i="40"/>
  <c r="H191" i="40"/>
  <c r="H202" i="40" s="1"/>
  <c r="H205" i="40" s="1"/>
  <c r="A191" i="40"/>
  <c r="H189" i="40"/>
  <c r="G189" i="40"/>
  <c r="F189" i="40"/>
  <c r="H177" i="40"/>
  <c r="G177" i="40"/>
  <c r="F177" i="40"/>
  <c r="C175" i="40"/>
  <c r="C189" i="40"/>
  <c r="I174" i="40"/>
  <c r="J174" i="40" s="1"/>
  <c r="I173" i="40"/>
  <c r="J173" i="40" s="1"/>
  <c r="D173" i="40"/>
  <c r="E173" i="40" s="1"/>
  <c r="I172" i="40"/>
  <c r="J172" i="40" s="1"/>
  <c r="D172" i="40"/>
  <c r="E172" i="40" s="1"/>
  <c r="I171" i="40"/>
  <c r="J171" i="40" s="1"/>
  <c r="D171" i="40"/>
  <c r="E171" i="40" s="1"/>
  <c r="I170" i="40"/>
  <c r="J170" i="40" s="1"/>
  <c r="D170" i="40"/>
  <c r="E170" i="40" s="1"/>
  <c r="I169" i="40"/>
  <c r="J169" i="40"/>
  <c r="D169" i="40"/>
  <c r="E169" i="40" s="1"/>
  <c r="I168" i="40"/>
  <c r="J168" i="40"/>
  <c r="I167" i="40"/>
  <c r="J167" i="40" s="1"/>
  <c r="D167" i="40"/>
  <c r="E167" i="40" s="1"/>
  <c r="I166" i="40"/>
  <c r="J166" i="40" s="1"/>
  <c r="D166" i="40"/>
  <c r="E166" i="40" s="1"/>
  <c r="I165" i="40"/>
  <c r="J165" i="40" s="1"/>
  <c r="D165" i="40"/>
  <c r="E165" i="40" s="1"/>
  <c r="I164" i="40"/>
  <c r="I175" i="40" s="1"/>
  <c r="I189" i="40" s="1"/>
  <c r="D164" i="40"/>
  <c r="M161" i="40"/>
  <c r="M187" i="40" s="1"/>
  <c r="M193" i="40" s="1"/>
  <c r="L161" i="40"/>
  <c r="L187" i="40" s="1"/>
  <c r="L193" i="40" s="1"/>
  <c r="K161" i="40"/>
  <c r="K187" i="40" s="1"/>
  <c r="K193" i="40" s="1"/>
  <c r="H161" i="40"/>
  <c r="H187" i="40"/>
  <c r="H193" i="40" s="1"/>
  <c r="G161" i="40"/>
  <c r="G187" i="40"/>
  <c r="F161" i="40"/>
  <c r="F187" i="40"/>
  <c r="J160" i="40"/>
  <c r="I159" i="40"/>
  <c r="I158" i="40"/>
  <c r="J158" i="40" s="1"/>
  <c r="I157" i="40"/>
  <c r="J157" i="40"/>
  <c r="I156" i="40"/>
  <c r="I155" i="40"/>
  <c r="I154" i="40"/>
  <c r="I153" i="40"/>
  <c r="I152" i="40"/>
  <c r="I151" i="40"/>
  <c r="I150" i="40"/>
  <c r="I149" i="40"/>
  <c r="I148" i="40"/>
  <c r="I147" i="40"/>
  <c r="J147" i="40"/>
  <c r="I146" i="40"/>
  <c r="I145" i="40"/>
  <c r="J145" i="40" s="1"/>
  <c r="I144" i="40"/>
  <c r="I143" i="40"/>
  <c r="J143" i="40" s="1"/>
  <c r="I142" i="40"/>
  <c r="I141" i="40"/>
  <c r="I140" i="40"/>
  <c r="H135" i="40"/>
  <c r="H137" i="40" s="1"/>
  <c r="G135" i="40"/>
  <c r="F135" i="40"/>
  <c r="I134" i="40"/>
  <c r="D134" i="40"/>
  <c r="I133" i="40"/>
  <c r="J133" i="40" s="1"/>
  <c r="I132" i="40"/>
  <c r="I135" i="40"/>
  <c r="I182" i="40" s="1"/>
  <c r="I199" i="40" s="1"/>
  <c r="I127" i="40"/>
  <c r="J127" i="40" s="1"/>
  <c r="D127" i="40"/>
  <c r="E127" i="40" s="1"/>
  <c r="I126" i="40"/>
  <c r="I122" i="40"/>
  <c r="I120" i="40"/>
  <c r="I119" i="40"/>
  <c r="J119" i="40" s="1"/>
  <c r="I118" i="40"/>
  <c r="J118" i="40" s="1"/>
  <c r="I117" i="40"/>
  <c r="J117" i="40" s="1"/>
  <c r="I116" i="40"/>
  <c r="J116" i="40"/>
  <c r="I115" i="40"/>
  <c r="J115" i="40"/>
  <c r="I114" i="40"/>
  <c r="J114" i="40" s="1"/>
  <c r="I113" i="40"/>
  <c r="I112" i="40"/>
  <c r="I111" i="40"/>
  <c r="I110" i="40"/>
  <c r="I109" i="40"/>
  <c r="I108" i="40"/>
  <c r="I107" i="40"/>
  <c r="I102" i="40"/>
  <c r="J102" i="40"/>
  <c r="I101" i="40"/>
  <c r="I100" i="40"/>
  <c r="J100" i="40" s="1"/>
  <c r="I99" i="40"/>
  <c r="I98" i="40"/>
  <c r="I97" i="40"/>
  <c r="I96" i="40"/>
  <c r="J96" i="40"/>
  <c r="I92" i="40"/>
  <c r="I87" i="40"/>
  <c r="I88" i="40" s="1"/>
  <c r="I180" i="40" s="1"/>
  <c r="I197" i="40"/>
  <c r="G84" i="40"/>
  <c r="I83" i="40"/>
  <c r="J83" i="40" s="1"/>
  <c r="I81" i="40"/>
  <c r="I80" i="40"/>
  <c r="I79" i="40"/>
  <c r="I78" i="40"/>
  <c r="I77" i="40"/>
  <c r="I76" i="40"/>
  <c r="I75" i="40"/>
  <c r="I74" i="40"/>
  <c r="J74" i="40" s="1"/>
  <c r="J84" i="40" s="1"/>
  <c r="J191" i="40" s="1"/>
  <c r="J202" i="40" s="1"/>
  <c r="J205" i="40" s="1"/>
  <c r="I70" i="40"/>
  <c r="I69" i="40"/>
  <c r="J69" i="40" s="1"/>
  <c r="I68" i="40"/>
  <c r="I67" i="40"/>
  <c r="J67" i="40" s="1"/>
  <c r="I66" i="40"/>
  <c r="J66" i="40" s="1"/>
  <c r="I65" i="40"/>
  <c r="I64" i="40"/>
  <c r="I62" i="40"/>
  <c r="I61" i="40"/>
  <c r="I60" i="40"/>
  <c r="I59" i="40"/>
  <c r="I58" i="40"/>
  <c r="I57" i="40"/>
  <c r="J57" i="40" s="1"/>
  <c r="I56" i="40"/>
  <c r="I55" i="40"/>
  <c r="J55" i="40" s="1"/>
  <c r="I54" i="40"/>
  <c r="I53" i="40"/>
  <c r="I52" i="40"/>
  <c r="I51" i="40"/>
  <c r="I50" i="40"/>
  <c r="I49" i="40"/>
  <c r="I48" i="40"/>
  <c r="I47" i="40"/>
  <c r="I46" i="40"/>
  <c r="I45" i="40"/>
  <c r="J45" i="40" s="1"/>
  <c r="I44" i="40"/>
  <c r="J44" i="40" s="1"/>
  <c r="I43" i="40"/>
  <c r="I42" i="40"/>
  <c r="I71" i="40" s="1"/>
  <c r="I184" i="40" s="1"/>
  <c r="I201" i="40" s="1"/>
  <c r="J28" i="40"/>
  <c r="J41" i="40"/>
  <c r="J73" i="40" s="1"/>
  <c r="J86" i="40" s="1"/>
  <c r="J90" i="40" s="1"/>
  <c r="J125" i="40" s="1"/>
  <c r="J131" i="40" s="1"/>
  <c r="J139" i="40" s="1"/>
  <c r="J163" i="40" s="1"/>
  <c r="J195" i="40" s="1"/>
  <c r="E28" i="40"/>
  <c r="E41" i="40"/>
  <c r="E73" i="40" s="1"/>
  <c r="E86" i="40" s="1"/>
  <c r="E90" i="40" s="1"/>
  <c r="E125" i="40" s="1"/>
  <c r="E131" i="40" s="1"/>
  <c r="E139" i="40" s="1"/>
  <c r="E163" i="40" s="1"/>
  <c r="E195" i="40" s="1"/>
  <c r="C28" i="40"/>
  <c r="C41" i="40" s="1"/>
  <c r="C73" i="40" s="1"/>
  <c r="C86" i="40" s="1"/>
  <c r="C90" i="40" s="1"/>
  <c r="C125" i="40" s="1"/>
  <c r="C131" i="40" s="1"/>
  <c r="C139" i="40" s="1"/>
  <c r="C163" i="40" s="1"/>
  <c r="C195" i="40" s="1"/>
  <c r="I7" i="40"/>
  <c r="I2" i="40"/>
  <c r="I1" i="40"/>
  <c r="E88" i="39"/>
  <c r="D87" i="39"/>
  <c r="C87" i="39"/>
  <c r="E86" i="39"/>
  <c r="D86" i="39"/>
  <c r="C86" i="39"/>
  <c r="E85" i="39"/>
  <c r="D85" i="39"/>
  <c r="C85" i="39"/>
  <c r="D84" i="39"/>
  <c r="C84" i="39"/>
  <c r="F84" i="39" s="1"/>
  <c r="E83" i="39"/>
  <c r="D83" i="39"/>
  <c r="C83" i="39"/>
  <c r="E82" i="39"/>
  <c r="F82" i="39" s="1"/>
  <c r="D82" i="39"/>
  <c r="C82" i="39"/>
  <c r="E81" i="39"/>
  <c r="D81" i="39"/>
  <c r="C81" i="39"/>
  <c r="D80" i="39"/>
  <c r="C80" i="39"/>
  <c r="F80" i="39" s="1"/>
  <c r="E79" i="39"/>
  <c r="C79" i="39"/>
  <c r="C72" i="39"/>
  <c r="G69" i="39"/>
  <c r="G68" i="39"/>
  <c r="E35" i="37" s="1"/>
  <c r="F68" i="39"/>
  <c r="G67" i="39"/>
  <c r="F67" i="39"/>
  <c r="G66" i="39"/>
  <c r="E33" i="37" s="1"/>
  <c r="F66" i="39"/>
  <c r="G65" i="39"/>
  <c r="F65" i="39"/>
  <c r="G64" i="39"/>
  <c r="F64" i="39"/>
  <c r="G63" i="39"/>
  <c r="E30" i="37"/>
  <c r="G62" i="39"/>
  <c r="E29" i="37" s="1"/>
  <c r="H27" i="37" s="1"/>
  <c r="E57" i="39"/>
  <c r="G16" i="39"/>
  <c r="E16" i="39"/>
  <c r="C16" i="39"/>
  <c r="H14" i="39"/>
  <c r="H13" i="39"/>
  <c r="H12" i="39"/>
  <c r="H11" i="39"/>
  <c r="H10" i="39"/>
  <c r="H9" i="39"/>
  <c r="H8" i="39"/>
  <c r="H7" i="39"/>
  <c r="H6" i="39"/>
  <c r="H5" i="39"/>
  <c r="I81" i="38"/>
  <c r="K80" i="38"/>
  <c r="G77" i="38"/>
  <c r="G76" i="38"/>
  <c r="K75" i="38"/>
  <c r="G75" i="38"/>
  <c r="I73" i="38"/>
  <c r="G73" i="38"/>
  <c r="G72" i="38"/>
  <c r="G71" i="38"/>
  <c r="G70" i="38"/>
  <c r="G69" i="38"/>
  <c r="G68" i="38"/>
  <c r="G67" i="38"/>
  <c r="G66" i="38"/>
  <c r="H67" i="38" s="1"/>
  <c r="G65" i="38"/>
  <c r="G64" i="38"/>
  <c r="H61" i="38"/>
  <c r="D61" i="38"/>
  <c r="O60" i="38"/>
  <c r="D55" i="38"/>
  <c r="D58" i="38"/>
  <c r="B55" i="38"/>
  <c r="C52" i="38"/>
  <c r="E51" i="38"/>
  <c r="C51" i="38"/>
  <c r="D46" i="38"/>
  <c r="C45" i="38"/>
  <c r="C48" i="38" s="1"/>
  <c r="B42" i="38"/>
  <c r="B40" i="38"/>
  <c r="B36" i="38"/>
  <c r="E120" i="37" s="1"/>
  <c r="B29" i="38"/>
  <c r="D25" i="38"/>
  <c r="C25" i="38"/>
  <c r="B25" i="38"/>
  <c r="E24" i="38"/>
  <c r="E23" i="38"/>
  <c r="E22" i="38"/>
  <c r="D18" i="38"/>
  <c r="C18" i="38"/>
  <c r="D16" i="38"/>
  <c r="C16" i="38"/>
  <c r="B16" i="38"/>
  <c r="E13" i="38"/>
  <c r="D12" i="38"/>
  <c r="C12" i="38"/>
  <c r="E12" i="38" s="1"/>
  <c r="B11" i="38"/>
  <c r="E11" i="38"/>
  <c r="E6" i="38"/>
  <c r="D5" i="38"/>
  <c r="C5" i="38"/>
  <c r="B5" i="38"/>
  <c r="E5" i="38" s="1"/>
  <c r="E4" i="38"/>
  <c r="L201" i="37"/>
  <c r="L199" i="37"/>
  <c r="J198" i="37"/>
  <c r="H198" i="37"/>
  <c r="L197" i="37"/>
  <c r="L195" i="37"/>
  <c r="L193" i="37"/>
  <c r="L187" i="37"/>
  <c r="L186" i="37"/>
  <c r="L181" i="37"/>
  <c r="L179" i="37"/>
  <c r="L177" i="37"/>
  <c r="L175" i="37"/>
  <c r="L171" i="37"/>
  <c r="L169" i="37"/>
  <c r="T168" i="37"/>
  <c r="E168" i="37"/>
  <c r="C168" i="37"/>
  <c r="L168" i="37"/>
  <c r="U167" i="37"/>
  <c r="L167" i="37"/>
  <c r="F167" i="37"/>
  <c r="U166" i="37"/>
  <c r="L166" i="37"/>
  <c r="F166" i="37"/>
  <c r="D166" i="37"/>
  <c r="G166" i="37" s="1"/>
  <c r="U165" i="37"/>
  <c r="L165" i="37"/>
  <c r="F165" i="37"/>
  <c r="D165" i="37"/>
  <c r="G165" i="37" s="1"/>
  <c r="U164" i="37"/>
  <c r="L164" i="37"/>
  <c r="F164" i="37"/>
  <c r="D164" i="37"/>
  <c r="G164" i="37" s="1"/>
  <c r="U163" i="37"/>
  <c r="L163" i="37"/>
  <c r="F163" i="37"/>
  <c r="D163" i="37"/>
  <c r="G163" i="37"/>
  <c r="U162" i="37"/>
  <c r="L162" i="37"/>
  <c r="F162" i="37"/>
  <c r="D162" i="37"/>
  <c r="G162" i="37" s="1"/>
  <c r="U161" i="37"/>
  <c r="L161" i="37"/>
  <c r="F161" i="37"/>
  <c r="D161" i="37"/>
  <c r="G161" i="37"/>
  <c r="U160" i="37"/>
  <c r="L160" i="37"/>
  <c r="F160" i="37"/>
  <c r="D160" i="37"/>
  <c r="G160" i="37" s="1"/>
  <c r="U159" i="37"/>
  <c r="L159" i="37"/>
  <c r="F159" i="37"/>
  <c r="D159" i="37"/>
  <c r="G159" i="37" s="1"/>
  <c r="U158" i="37"/>
  <c r="L158" i="37"/>
  <c r="F158" i="37"/>
  <c r="D158" i="37"/>
  <c r="G158" i="37"/>
  <c r="U157" i="37"/>
  <c r="L157" i="37"/>
  <c r="F157" i="37"/>
  <c r="D157" i="37"/>
  <c r="G157" i="37"/>
  <c r="L155" i="37"/>
  <c r="T154" i="37"/>
  <c r="C154" i="37"/>
  <c r="C176" i="37"/>
  <c r="B6" i="36" s="1"/>
  <c r="U153" i="37"/>
  <c r="L153" i="37"/>
  <c r="F153" i="37"/>
  <c r="U152" i="37"/>
  <c r="L152" i="37"/>
  <c r="F152" i="37"/>
  <c r="U151" i="37"/>
  <c r="L151" i="37"/>
  <c r="H151" i="37"/>
  <c r="F151" i="37"/>
  <c r="U150" i="37"/>
  <c r="L150" i="37"/>
  <c r="F150" i="37"/>
  <c r="U149" i="37"/>
  <c r="L149" i="37"/>
  <c r="F149" i="37"/>
  <c r="U148" i="37"/>
  <c r="L148" i="37"/>
  <c r="F148" i="37"/>
  <c r="U147" i="37"/>
  <c r="L147" i="37"/>
  <c r="F147" i="37"/>
  <c r="U146" i="37"/>
  <c r="L146" i="37"/>
  <c r="F146" i="37"/>
  <c r="U145" i="37"/>
  <c r="L145" i="37"/>
  <c r="F145" i="37"/>
  <c r="U144" i="37"/>
  <c r="L144" i="37"/>
  <c r="F144" i="37"/>
  <c r="L143" i="37"/>
  <c r="E154" i="37"/>
  <c r="E176" i="37" s="1"/>
  <c r="D6" i="36" s="1"/>
  <c r="U142" i="37"/>
  <c r="L142" i="37"/>
  <c r="F142" i="37"/>
  <c r="U141" i="37"/>
  <c r="L141" i="37"/>
  <c r="F141" i="37"/>
  <c r="U140" i="37"/>
  <c r="L140" i="37"/>
  <c r="F140" i="37"/>
  <c r="U139" i="37"/>
  <c r="L139" i="37"/>
  <c r="F139" i="37"/>
  <c r="U138" i="37"/>
  <c r="L138" i="37"/>
  <c r="F138" i="37"/>
  <c r="U137" i="37"/>
  <c r="L137" i="37"/>
  <c r="F137" i="37"/>
  <c r="U136" i="37"/>
  <c r="L136" i="37"/>
  <c r="F136" i="37"/>
  <c r="U135" i="37"/>
  <c r="L135" i="37"/>
  <c r="F135" i="37"/>
  <c r="U134" i="37"/>
  <c r="L134" i="37"/>
  <c r="F134" i="37"/>
  <c r="U132" i="37"/>
  <c r="L132" i="37"/>
  <c r="U130" i="37"/>
  <c r="T129" i="37"/>
  <c r="T131" i="37" s="1"/>
  <c r="C129" i="37"/>
  <c r="U128" i="37"/>
  <c r="U127" i="37"/>
  <c r="L127" i="37"/>
  <c r="F127" i="37"/>
  <c r="U126" i="37"/>
  <c r="L126" i="37"/>
  <c r="F126" i="37"/>
  <c r="U125" i="37"/>
  <c r="L125" i="37"/>
  <c r="F125" i="37"/>
  <c r="U124" i="37"/>
  <c r="L124" i="37"/>
  <c r="F124" i="37"/>
  <c r="D124" i="37"/>
  <c r="G124" i="37"/>
  <c r="U123" i="37"/>
  <c r="L123" i="37"/>
  <c r="F123" i="37"/>
  <c r="U122" i="37"/>
  <c r="L122" i="37"/>
  <c r="F122" i="37"/>
  <c r="U121" i="37"/>
  <c r="L121" i="37"/>
  <c r="F121" i="37"/>
  <c r="L120" i="37"/>
  <c r="U119" i="37"/>
  <c r="L119" i="37"/>
  <c r="F119" i="37"/>
  <c r="U118" i="37"/>
  <c r="L118" i="37"/>
  <c r="F118" i="37"/>
  <c r="U117" i="37"/>
  <c r="L117" i="37"/>
  <c r="F117" i="37"/>
  <c r="U116" i="37"/>
  <c r="L116" i="37"/>
  <c r="F116" i="37"/>
  <c r="U115" i="37"/>
  <c r="L115" i="37"/>
  <c r="F115" i="37"/>
  <c r="U114" i="37"/>
  <c r="L114" i="37"/>
  <c r="F114" i="37"/>
  <c r="U113" i="37"/>
  <c r="L113" i="37"/>
  <c r="F113" i="37"/>
  <c r="U112" i="37"/>
  <c r="L112" i="37"/>
  <c r="F112" i="37"/>
  <c r="L111" i="37"/>
  <c r="U110" i="37"/>
  <c r="L110" i="37"/>
  <c r="F110" i="37"/>
  <c r="U109" i="37"/>
  <c r="L109" i="37"/>
  <c r="F109" i="37"/>
  <c r="U108" i="37"/>
  <c r="L108" i="37"/>
  <c r="F108" i="37"/>
  <c r="U107" i="37"/>
  <c r="L107" i="37"/>
  <c r="F107" i="37"/>
  <c r="U106" i="37"/>
  <c r="L106" i="37"/>
  <c r="F106" i="37"/>
  <c r="U105" i="37"/>
  <c r="L105" i="37"/>
  <c r="I105" i="37"/>
  <c r="D105" i="37" s="1"/>
  <c r="G105" i="37" s="1"/>
  <c r="I106" i="37"/>
  <c r="I107" i="37" s="1"/>
  <c r="F105" i="37"/>
  <c r="U104" i="37"/>
  <c r="L104" i="37"/>
  <c r="I104" i="37"/>
  <c r="D104" i="37" s="1"/>
  <c r="G104" i="37" s="1"/>
  <c r="F104" i="37"/>
  <c r="U103" i="37"/>
  <c r="L103" i="37"/>
  <c r="F103" i="37"/>
  <c r="D103" i="37"/>
  <c r="G103" i="37" s="1"/>
  <c r="U102" i="37"/>
  <c r="L102" i="37"/>
  <c r="F102" i="37"/>
  <c r="U101" i="37"/>
  <c r="L101" i="37"/>
  <c r="F101" i="37"/>
  <c r="D101" i="37"/>
  <c r="G101" i="37" s="1"/>
  <c r="U100" i="37"/>
  <c r="L100" i="37"/>
  <c r="F100" i="37"/>
  <c r="U99" i="37"/>
  <c r="L99" i="37"/>
  <c r="F99" i="37"/>
  <c r="L97" i="37"/>
  <c r="T96" i="37"/>
  <c r="E96" i="37"/>
  <c r="C96" i="37"/>
  <c r="C180" i="37" s="1"/>
  <c r="U95" i="37"/>
  <c r="L95" i="37"/>
  <c r="U94" i="37"/>
  <c r="L94" i="37"/>
  <c r="F94" i="37"/>
  <c r="U93" i="37"/>
  <c r="L93" i="37"/>
  <c r="F93" i="37"/>
  <c r="U92" i="37"/>
  <c r="L92" i="37"/>
  <c r="F92" i="37"/>
  <c r="U91" i="37"/>
  <c r="L91" i="37"/>
  <c r="F91" i="37"/>
  <c r="U90" i="37"/>
  <c r="L90" i="37"/>
  <c r="F90" i="37"/>
  <c r="U89" i="37"/>
  <c r="L89" i="37"/>
  <c r="F89" i="37"/>
  <c r="U88" i="37"/>
  <c r="L88" i="37"/>
  <c r="F88" i="37"/>
  <c r="U87" i="37"/>
  <c r="L87" i="37"/>
  <c r="F87" i="37"/>
  <c r="U86" i="37"/>
  <c r="L86" i="37"/>
  <c r="F86" i="37"/>
  <c r="U85" i="37"/>
  <c r="L85" i="37"/>
  <c r="F85" i="37"/>
  <c r="U84" i="37"/>
  <c r="L84" i="37"/>
  <c r="F84" i="37"/>
  <c r="U83" i="37"/>
  <c r="L83" i="37"/>
  <c r="F83" i="37"/>
  <c r="U82" i="37"/>
  <c r="L82" i="37"/>
  <c r="F82" i="37"/>
  <c r="F96" i="37" s="1"/>
  <c r="U81" i="37"/>
  <c r="L81" i="37"/>
  <c r="L79" i="37"/>
  <c r="T78" i="37"/>
  <c r="C78" i="37"/>
  <c r="U77" i="37"/>
  <c r="L77" i="37"/>
  <c r="F77" i="37"/>
  <c r="U76" i="37"/>
  <c r="L76" i="37"/>
  <c r="F76" i="37"/>
  <c r="U75" i="37"/>
  <c r="L75" i="37"/>
  <c r="F75" i="37"/>
  <c r="U74" i="37"/>
  <c r="L74" i="37"/>
  <c r="F74" i="37"/>
  <c r="U73" i="37"/>
  <c r="L73" i="37"/>
  <c r="F73" i="37"/>
  <c r="U72" i="37"/>
  <c r="L72" i="37"/>
  <c r="F72" i="37"/>
  <c r="U71" i="37"/>
  <c r="L71" i="37"/>
  <c r="F71" i="37"/>
  <c r="U70" i="37"/>
  <c r="L70" i="37"/>
  <c r="F70" i="37"/>
  <c r="U69" i="37"/>
  <c r="L69" i="37"/>
  <c r="F69" i="37"/>
  <c r="U68" i="37"/>
  <c r="L68" i="37"/>
  <c r="F68" i="37"/>
  <c r="U67" i="37"/>
  <c r="L67" i="37"/>
  <c r="F67" i="37"/>
  <c r="U66" i="37"/>
  <c r="L66" i="37"/>
  <c r="F66" i="37"/>
  <c r="U65" i="37"/>
  <c r="L65" i="37"/>
  <c r="F65" i="37"/>
  <c r="U64" i="37"/>
  <c r="L64" i="37"/>
  <c r="F64" i="37"/>
  <c r="U63" i="37"/>
  <c r="L63" i="37"/>
  <c r="F63" i="37"/>
  <c r="U62" i="37"/>
  <c r="L62" i="37"/>
  <c r="F62" i="37"/>
  <c r="U61" i="37"/>
  <c r="L61" i="37"/>
  <c r="F61" i="37"/>
  <c r="U60" i="37"/>
  <c r="L60" i="37"/>
  <c r="F60" i="37"/>
  <c r="L59" i="37"/>
  <c r="U58" i="37"/>
  <c r="L58" i="37"/>
  <c r="F58" i="37"/>
  <c r="U57" i="37"/>
  <c r="L57" i="37"/>
  <c r="F57" i="37"/>
  <c r="U56" i="37"/>
  <c r="L56" i="37"/>
  <c r="F56" i="37"/>
  <c r="U55" i="37"/>
  <c r="L55" i="37"/>
  <c r="F55" i="37"/>
  <c r="U54" i="37"/>
  <c r="L54" i="37"/>
  <c r="F54" i="37"/>
  <c r="F53" i="37"/>
  <c r="U52" i="37"/>
  <c r="L52" i="37"/>
  <c r="F52" i="37"/>
  <c r="U51" i="37"/>
  <c r="L51" i="37"/>
  <c r="F51" i="37"/>
  <c r="U50" i="37"/>
  <c r="L50" i="37"/>
  <c r="F50" i="37"/>
  <c r="U49" i="37"/>
  <c r="L49" i="37"/>
  <c r="F49" i="37"/>
  <c r="U48" i="37"/>
  <c r="L48" i="37"/>
  <c r="F48" i="37"/>
  <c r="L47" i="37"/>
  <c r="D97" i="40"/>
  <c r="U47" i="37"/>
  <c r="U46" i="37"/>
  <c r="F46" i="37"/>
  <c r="L45" i="37"/>
  <c r="L44" i="37"/>
  <c r="D94" i="40"/>
  <c r="L43" i="37"/>
  <c r="H43" i="37"/>
  <c r="H44" i="37" s="1"/>
  <c r="H45" i="37" s="1"/>
  <c r="H46" i="37" s="1"/>
  <c r="H47" i="37" s="1"/>
  <c r="L42" i="37"/>
  <c r="L41" i="37"/>
  <c r="T38" i="37"/>
  <c r="C38" i="37"/>
  <c r="L38" i="37"/>
  <c r="L35" i="37"/>
  <c r="L34" i="37"/>
  <c r="F34" i="37"/>
  <c r="U34" i="37"/>
  <c r="L33" i="37"/>
  <c r="L32" i="37"/>
  <c r="F32" i="37"/>
  <c r="U32" i="37"/>
  <c r="L31" i="37"/>
  <c r="L30" i="37"/>
  <c r="L29" i="37"/>
  <c r="H29" i="37"/>
  <c r="H30" i="37" s="1"/>
  <c r="H31" i="37"/>
  <c r="L28" i="37"/>
  <c r="C27" i="37"/>
  <c r="C40" i="37"/>
  <c r="C80" i="37" s="1"/>
  <c r="C98" i="37" s="1"/>
  <c r="C133" i="37" s="1"/>
  <c r="C156" i="37" s="1"/>
  <c r="C188" i="37" s="1"/>
  <c r="U26" i="37"/>
  <c r="L26" i="37"/>
  <c r="T25" i="37"/>
  <c r="C25" i="37"/>
  <c r="L25" i="37" s="1"/>
  <c r="L24" i="37"/>
  <c r="U23" i="37"/>
  <c r="L23" i="37"/>
  <c r="F23" i="37"/>
  <c r="U22" i="37"/>
  <c r="L22" i="37"/>
  <c r="F22" i="37"/>
  <c r="U21" i="37"/>
  <c r="L21" i="37"/>
  <c r="F21" i="37"/>
  <c r="U20" i="37"/>
  <c r="L20" i="37"/>
  <c r="F20" i="37"/>
  <c r="U19" i="37"/>
  <c r="L19" i="37"/>
  <c r="F19" i="37"/>
  <c r="U18" i="37"/>
  <c r="L18" i="37"/>
  <c r="F18" i="37"/>
  <c r="U17" i="37"/>
  <c r="L17" i="37"/>
  <c r="I17" i="37"/>
  <c r="I18" i="37"/>
  <c r="D18" i="37" s="1"/>
  <c r="G18" i="37" s="1"/>
  <c r="F17" i="37"/>
  <c r="U16" i="37"/>
  <c r="L16" i="37"/>
  <c r="F16" i="37"/>
  <c r="D16" i="37"/>
  <c r="G16" i="37" s="1"/>
  <c r="U15" i="37"/>
  <c r="L15" i="37"/>
  <c r="F15" i="37"/>
  <c r="U14" i="37"/>
  <c r="L14" i="37"/>
  <c r="F14" i="37"/>
  <c r="D14" i="37"/>
  <c r="G14" i="37" s="1"/>
  <c r="U13" i="37"/>
  <c r="L13" i="37"/>
  <c r="F13" i="37"/>
  <c r="D13" i="37"/>
  <c r="G13" i="37"/>
  <c r="U12" i="37"/>
  <c r="L12" i="37"/>
  <c r="F12" i="37"/>
  <c r="U11" i="37"/>
  <c r="L11" i="37"/>
  <c r="F11" i="37"/>
  <c r="U10" i="37"/>
  <c r="L10" i="37"/>
  <c r="F10" i="37"/>
  <c r="U9" i="37"/>
  <c r="L9" i="37"/>
  <c r="F9" i="37"/>
  <c r="U8" i="37"/>
  <c r="L8" i="37"/>
  <c r="F8" i="37"/>
  <c r="U7" i="37"/>
  <c r="L7" i="37"/>
  <c r="F7" i="37"/>
  <c r="U6" i="37"/>
  <c r="L6" i="37"/>
  <c r="I6" i="37"/>
  <c r="D6" i="37" s="1"/>
  <c r="G6" i="37" s="1"/>
  <c r="F6" i="37"/>
  <c r="U5" i="37"/>
  <c r="L5" i="37"/>
  <c r="F5" i="37"/>
  <c r="D5" i="37"/>
  <c r="G5" i="37" s="1"/>
  <c r="G6" i="40" s="1"/>
  <c r="I95" i="40"/>
  <c r="I93" i="40"/>
  <c r="I104" i="40"/>
  <c r="J104" i="40" s="1"/>
  <c r="I94" i="40"/>
  <c r="I91" i="40"/>
  <c r="I37" i="40"/>
  <c r="I36" i="40"/>
  <c r="I35" i="40"/>
  <c r="J35" i="40" s="1"/>
  <c r="I34" i="40"/>
  <c r="J34" i="40" s="1"/>
  <c r="I33" i="40"/>
  <c r="J33" i="40"/>
  <c r="I32" i="40"/>
  <c r="J32" i="40" s="1"/>
  <c r="I31" i="40"/>
  <c r="I30" i="40"/>
  <c r="I29" i="40"/>
  <c r="I63" i="40"/>
  <c r="I38" i="40"/>
  <c r="D70" i="39"/>
  <c r="F70" i="39" s="1"/>
  <c r="E84" i="39"/>
  <c r="C88" i="39"/>
  <c r="F111" i="37"/>
  <c r="U111" i="37"/>
  <c r="F143" i="37"/>
  <c r="U143" i="37"/>
  <c r="U44" i="37"/>
  <c r="F44" i="37"/>
  <c r="F47" i="37"/>
  <c r="E25" i="37"/>
  <c r="D185" i="37"/>
  <c r="H186" i="37" s="1"/>
  <c r="U24" i="37"/>
  <c r="F24" i="37"/>
  <c r="D35" i="40"/>
  <c r="I128" i="40"/>
  <c r="J128" i="40" s="1"/>
  <c r="F61" i="39"/>
  <c r="I61" i="39" s="1"/>
  <c r="J61" i="39" s="1"/>
  <c r="G61" i="39"/>
  <c r="E28" i="37"/>
  <c r="L96" i="37"/>
  <c r="L56" i="38"/>
  <c r="M56" i="38" s="1"/>
  <c r="N56" i="38" s="1"/>
  <c r="I62" i="38"/>
  <c r="O61" i="38"/>
  <c r="F62" i="39"/>
  <c r="E43" i="37"/>
  <c r="U43" i="37" s="1"/>
  <c r="E80" i="39"/>
  <c r="F42" i="37"/>
  <c r="U97" i="37"/>
  <c r="U155" i="37"/>
  <c r="D7" i="43"/>
  <c r="D88" i="39"/>
  <c r="D90" i="39" s="1"/>
  <c r="F78" i="45"/>
  <c r="E96" i="40"/>
  <c r="U42" i="37"/>
  <c r="D92" i="40"/>
  <c r="C55" i="38"/>
  <c r="I129" i="40"/>
  <c r="I181" i="40" s="1"/>
  <c r="I198" i="40" s="1"/>
  <c r="D67" i="38"/>
  <c r="C66" i="38"/>
  <c r="I84" i="40"/>
  <c r="I191" i="40" s="1"/>
  <c r="I202" i="40" s="1"/>
  <c r="I205" i="40" s="1"/>
  <c r="J164" i="40"/>
  <c r="J175" i="40" s="1"/>
  <c r="J189" i="40" s="1"/>
  <c r="E35" i="40"/>
  <c r="F6" i="40"/>
  <c r="J14" i="40"/>
  <c r="E83" i="40"/>
  <c r="J65" i="40"/>
  <c r="J22" i="40"/>
  <c r="M58" i="40"/>
  <c r="M60" i="40" s="1"/>
  <c r="J12" i="40"/>
  <c r="C185" i="37"/>
  <c r="L185" i="37" s="1"/>
  <c r="E72" i="39"/>
  <c r="C170" i="37"/>
  <c r="D17" i="37"/>
  <c r="G17" i="37" s="1"/>
  <c r="J11" i="40"/>
  <c r="G60" i="38"/>
  <c r="M60" i="38" s="1"/>
  <c r="B18" i="45"/>
  <c r="E74" i="40"/>
  <c r="J132" i="40"/>
  <c r="J135" i="40" s="1"/>
  <c r="J182" i="40" s="1"/>
  <c r="J199" i="40" s="1"/>
  <c r="E59" i="40"/>
  <c r="B18" i="38"/>
  <c r="J150" i="40"/>
  <c r="I7" i="37"/>
  <c r="B12" i="45"/>
  <c r="E12" i="45"/>
  <c r="U25" i="37"/>
  <c r="D72" i="39"/>
  <c r="E170" i="37"/>
  <c r="D3" i="36" s="1"/>
  <c r="E97" i="40"/>
  <c r="F85" i="39"/>
  <c r="F86" i="39"/>
  <c r="J46" i="40"/>
  <c r="J50" i="40"/>
  <c r="J58" i="40"/>
  <c r="J62" i="40"/>
  <c r="U33" i="37"/>
  <c r="U154" i="37"/>
  <c r="J38" i="40"/>
  <c r="J60" i="40"/>
  <c r="J75" i="40"/>
  <c r="J79" i="40"/>
  <c r="J99" i="40"/>
  <c r="J148" i="40"/>
  <c r="E98" i="40"/>
  <c r="E112" i="40"/>
  <c r="E143" i="40"/>
  <c r="E151" i="40"/>
  <c r="E159" i="40"/>
  <c r="E164" i="40"/>
  <c r="E75" i="40"/>
  <c r="E148" i="40"/>
  <c r="J48" i="40"/>
  <c r="E129" i="37"/>
  <c r="U129" i="37" s="1"/>
  <c r="C131" i="37"/>
  <c r="L131" i="37" s="1"/>
  <c r="C178" i="37"/>
  <c r="F81" i="39"/>
  <c r="C55" i="45"/>
  <c r="E113" i="40"/>
  <c r="J52" i="40"/>
  <c r="U120" i="37"/>
  <c r="B12" i="38"/>
  <c r="J141" i="40"/>
  <c r="E145" i="40"/>
  <c r="J68" i="40"/>
  <c r="J21" i="40"/>
  <c r="J64" i="40"/>
  <c r="J109" i="40"/>
  <c r="E18" i="40"/>
  <c r="E158" i="40"/>
  <c r="D68" i="38"/>
  <c r="E56" i="40"/>
  <c r="J56" i="40"/>
  <c r="D8" i="43"/>
  <c r="F43" i="37"/>
  <c r="D93" i="40"/>
  <c r="I123" i="40"/>
  <c r="I183" i="40" s="1"/>
  <c r="I200" i="40" s="1"/>
  <c r="L154" i="37"/>
  <c r="F154" i="37"/>
  <c r="E157" i="40"/>
  <c r="E60" i="40"/>
  <c r="J53" i="40"/>
  <c r="E100" i="40"/>
  <c r="J156" i="40"/>
  <c r="E13" i="40"/>
  <c r="J120" i="40"/>
  <c r="J16" i="40"/>
  <c r="J17" i="40"/>
  <c r="C71" i="40"/>
  <c r="J97" i="40"/>
  <c r="J23" i="40"/>
  <c r="E22" i="40"/>
  <c r="E147" i="40"/>
  <c r="J37" i="40"/>
  <c r="E66" i="40"/>
  <c r="E55" i="40"/>
  <c r="E49" i="40"/>
  <c r="E44" i="40"/>
  <c r="E79" i="40"/>
  <c r="I161" i="40"/>
  <c r="I187" i="40" s="1"/>
  <c r="I26" i="40"/>
  <c r="I177" i="40" s="1"/>
  <c r="E99" i="40"/>
  <c r="L170" i="37"/>
  <c r="I8" i="37"/>
  <c r="D7" i="37"/>
  <c r="G7" i="37" s="1"/>
  <c r="E173" i="37"/>
  <c r="L178" i="37"/>
  <c r="B7" i="36"/>
  <c r="D6" i="43"/>
  <c r="L60" i="45" l="1"/>
  <c r="M60" i="45"/>
  <c r="N60" i="45" s="1"/>
  <c r="P60" i="45"/>
  <c r="D67" i="45"/>
  <c r="C66" i="45"/>
  <c r="U31" i="37"/>
  <c r="D32" i="40"/>
  <c r="E32" i="40" s="1"/>
  <c r="E8" i="44"/>
  <c r="H8" i="44" s="1"/>
  <c r="L78" i="37"/>
  <c r="C172" i="37"/>
  <c r="C84" i="40"/>
  <c r="J106" i="40"/>
  <c r="E106" i="40"/>
  <c r="F167" i="44"/>
  <c r="F174" i="44" s="1"/>
  <c r="D5" i="43"/>
  <c r="I207" i="40"/>
  <c r="E7" i="38"/>
  <c r="J8" i="40"/>
  <c r="E8" i="40"/>
  <c r="J42" i="40"/>
  <c r="J71" i="40" s="1"/>
  <c r="J137" i="40" s="1"/>
  <c r="E42" i="40"/>
  <c r="J61" i="40"/>
  <c r="E61" i="40"/>
  <c r="J78" i="40"/>
  <c r="E78" i="40"/>
  <c r="F28" i="37"/>
  <c r="U28" i="37"/>
  <c r="V41" i="37" s="1"/>
  <c r="F30" i="37"/>
  <c r="D31" i="40"/>
  <c r="E31" i="40" s="1"/>
  <c r="U30" i="37"/>
  <c r="D95" i="40"/>
  <c r="E95" i="40" s="1"/>
  <c r="F45" i="37"/>
  <c r="U45" i="37"/>
  <c r="C173" i="37"/>
  <c r="L129" i="37"/>
  <c r="J91" i="40"/>
  <c r="J123" i="40" s="1"/>
  <c r="J183" i="40" s="1"/>
  <c r="J200" i="40" s="1"/>
  <c r="E142" i="40"/>
  <c r="J142" i="40"/>
  <c r="I73" i="45"/>
  <c r="E51" i="40"/>
  <c r="E153" i="40"/>
  <c r="I8" i="44"/>
  <c r="I9" i="44" s="1"/>
  <c r="J153" i="40"/>
  <c r="L60" i="38"/>
  <c r="I39" i="40"/>
  <c r="I179" i="40" s="1"/>
  <c r="J29" i="40"/>
  <c r="J39" i="40" s="1"/>
  <c r="J179" i="40" s="1"/>
  <c r="J185" i="40" s="1"/>
  <c r="E94" i="40"/>
  <c r="J19" i="40"/>
  <c r="E19" i="40"/>
  <c r="J7" i="40"/>
  <c r="J26" i="40" s="1"/>
  <c r="J177" i="40" s="1"/>
  <c r="J193" i="40" s="1"/>
  <c r="E7" i="40"/>
  <c r="E190" i="37"/>
  <c r="E196" i="37" s="1"/>
  <c r="D5" i="36"/>
  <c r="F35" i="37"/>
  <c r="D36" i="40"/>
  <c r="E36" i="40" s="1"/>
  <c r="U35" i="37"/>
  <c r="J155" i="40"/>
  <c r="E155" i="40"/>
  <c r="F41" i="37"/>
  <c r="D91" i="40"/>
  <c r="E91" i="40" s="1"/>
  <c r="D135" i="40"/>
  <c r="D182" i="40" s="1"/>
  <c r="D199" i="40" s="1"/>
  <c r="E132" i="40"/>
  <c r="I9" i="37"/>
  <c r="D8" i="37"/>
  <c r="G8" i="37" s="1"/>
  <c r="C184" i="40"/>
  <c r="C201" i="40" s="1"/>
  <c r="C207" i="40"/>
  <c r="N207" i="40" s="1"/>
  <c r="C88" i="40"/>
  <c r="C180" i="40" s="1"/>
  <c r="J87" i="40"/>
  <c r="J88" i="40" s="1"/>
  <c r="J180" i="40" s="1"/>
  <c r="J197" i="40" s="1"/>
  <c r="D161" i="40"/>
  <c r="D187" i="40" s="1"/>
  <c r="D69" i="38"/>
  <c r="F168" i="37"/>
  <c r="J154" i="40"/>
  <c r="G130" i="44"/>
  <c r="G153" i="44" s="1"/>
  <c r="F31" i="37"/>
  <c r="E180" i="37"/>
  <c r="F180" i="37" s="1"/>
  <c r="U96" i="37"/>
  <c r="G61" i="38"/>
  <c r="L61" i="38" s="1"/>
  <c r="P61" i="38"/>
  <c r="C67" i="38"/>
  <c r="D63" i="38"/>
  <c r="E63" i="38" s="1"/>
  <c r="J10" i="40"/>
  <c r="E10" i="40"/>
  <c r="J110" i="40"/>
  <c r="E110" i="40"/>
  <c r="E141" i="40"/>
  <c r="D169" i="44"/>
  <c r="D153" i="44"/>
  <c r="J93" i="40"/>
  <c r="E140" i="40"/>
  <c r="E178" i="37"/>
  <c r="U168" i="37"/>
  <c r="G191" i="40"/>
  <c r="G202" i="40" s="1"/>
  <c r="G205" i="40" s="1"/>
  <c r="G86" i="40"/>
  <c r="E144" i="40"/>
  <c r="J144" i="40"/>
  <c r="J95" i="40"/>
  <c r="G84" i="44"/>
  <c r="G157" i="44" s="1"/>
  <c r="C153" i="44"/>
  <c r="B6" i="43" s="1"/>
  <c r="C169" i="44"/>
  <c r="F120" i="37"/>
  <c r="F129" i="37" s="1"/>
  <c r="D63" i="40"/>
  <c r="D71" i="40" s="1"/>
  <c r="J80" i="40"/>
  <c r="D84" i="40"/>
  <c r="D191" i="40" s="1"/>
  <c r="D202" i="40" s="1"/>
  <c r="D205" i="40" s="1"/>
  <c r="C135" i="40"/>
  <c r="C182" i="40" s="1"/>
  <c r="E14" i="45"/>
  <c r="D106" i="37"/>
  <c r="G106" i="37" s="1"/>
  <c r="J31" i="40"/>
  <c r="E7" i="45"/>
  <c r="E16" i="45" s="1"/>
  <c r="J63" i="39"/>
  <c r="G64" i="44"/>
  <c r="G149" i="44" s="1"/>
  <c r="B3" i="36"/>
  <c r="E16" i="40"/>
  <c r="G25" i="44"/>
  <c r="G147" i="44" s="1"/>
  <c r="F88" i="39"/>
  <c r="E150" i="40"/>
  <c r="J47" i="40"/>
  <c r="F25" i="37"/>
  <c r="H16" i="39"/>
  <c r="E67" i="40"/>
  <c r="G37" i="44"/>
  <c r="E87" i="39"/>
  <c r="F87" i="39" s="1"/>
  <c r="J77" i="40"/>
  <c r="J159" i="40"/>
  <c r="G8" i="44"/>
  <c r="D115" i="44"/>
  <c r="J140" i="40"/>
  <c r="J161" i="40" s="1"/>
  <c r="J187" i="40" s="1"/>
  <c r="J51" i="40"/>
  <c r="J112" i="40"/>
  <c r="J122" i="40"/>
  <c r="J149" i="40"/>
  <c r="E119" i="40"/>
  <c r="E68" i="40"/>
  <c r="E59" i="37"/>
  <c r="F59" i="37" s="1"/>
  <c r="F176" i="37"/>
  <c r="C48" i="45"/>
  <c r="E25" i="38"/>
  <c r="J98" i="40"/>
  <c r="J113" i="40"/>
  <c r="J43" i="40"/>
  <c r="G145" i="44"/>
  <c r="G155" i="44" s="1"/>
  <c r="J70" i="40"/>
  <c r="H209" i="40"/>
  <c r="E152" i="40"/>
  <c r="E134" i="40"/>
  <c r="E101" i="40"/>
  <c r="L176" i="37"/>
  <c r="J151" i="40"/>
  <c r="E52" i="40"/>
  <c r="C84" i="44"/>
  <c r="C157" i="44" s="1"/>
  <c r="E69" i="50"/>
  <c r="E97" i="50" s="1"/>
  <c r="E120" i="50" s="1"/>
  <c r="D109" i="50"/>
  <c r="E175" i="40"/>
  <c r="E189" i="40" s="1"/>
  <c r="D175" i="40"/>
  <c r="D189" i="40" s="1"/>
  <c r="H48" i="37"/>
  <c r="B3" i="43"/>
  <c r="C166" i="44"/>
  <c r="C151" i="44"/>
  <c r="C159" i="44" s="1"/>
  <c r="B4" i="43"/>
  <c r="D107" i="37"/>
  <c r="G107" i="37" s="1"/>
  <c r="I108" i="37"/>
  <c r="C90" i="39"/>
  <c r="F79" i="39"/>
  <c r="F83" i="39"/>
  <c r="J9" i="40"/>
  <c r="E9" i="40"/>
  <c r="C26" i="40"/>
  <c r="C177" i="40" s="1"/>
  <c r="J30" i="40"/>
  <c r="C39" i="40"/>
  <c r="C179" i="40" s="1"/>
  <c r="J111" i="40"/>
  <c r="E111" i="40"/>
  <c r="G72" i="39"/>
  <c r="I72" i="39" s="1"/>
  <c r="I10" i="37"/>
  <c r="D9" i="37"/>
  <c r="G9" i="37" s="1"/>
  <c r="G193" i="40"/>
  <c r="H32" i="37"/>
  <c r="N60" i="38"/>
  <c r="E63" i="40"/>
  <c r="J63" i="40"/>
  <c r="P61" i="45"/>
  <c r="D63" i="45"/>
  <c r="E63" i="45" s="1"/>
  <c r="G61" i="45"/>
  <c r="D3" i="43"/>
  <c r="E105" i="40"/>
  <c r="J105" i="40"/>
  <c r="J196" i="40"/>
  <c r="J203" i="40" s="1"/>
  <c r="D128" i="40"/>
  <c r="F33" i="37"/>
  <c r="D34" i="40"/>
  <c r="E34" i="40" s="1"/>
  <c r="D162" i="44"/>
  <c r="D147" i="44"/>
  <c r="C115" i="44"/>
  <c r="E18" i="45"/>
  <c r="D68" i="45"/>
  <c r="F72" i="39"/>
  <c r="E145" i="44"/>
  <c r="E155" i="44" s="1"/>
  <c r="C7" i="43" s="1"/>
  <c r="H135" i="44"/>
  <c r="H145" i="44" s="1"/>
  <c r="H155" i="44" s="1"/>
  <c r="L172" i="37"/>
  <c r="C189" i="37"/>
  <c r="B8" i="36"/>
  <c r="C191" i="37"/>
  <c r="L180" i="37"/>
  <c r="E14" i="38"/>
  <c r="E18" i="38"/>
  <c r="E81" i="40"/>
  <c r="E84" i="40" s="1"/>
  <c r="E191" i="40" s="1"/>
  <c r="E202" i="40" s="1"/>
  <c r="E205" i="40" s="1"/>
  <c r="J81" i="40"/>
  <c r="U36" i="37"/>
  <c r="F36" i="37"/>
  <c r="D37" i="40"/>
  <c r="E37" i="40" s="1"/>
  <c r="E79" i="45"/>
  <c r="E81" i="45" s="1"/>
  <c r="G74" i="45"/>
  <c r="D29" i="40"/>
  <c r="F170" i="37"/>
  <c r="G113" i="44"/>
  <c r="C123" i="40"/>
  <c r="J92" i="40"/>
  <c r="D30" i="40"/>
  <c r="E30" i="40" s="1"/>
  <c r="U29" i="37"/>
  <c r="V43" i="37" s="1"/>
  <c r="F29" i="37"/>
  <c r="J54" i="40"/>
  <c r="E54" i="40"/>
  <c r="C167" i="44"/>
  <c r="B5" i="43"/>
  <c r="C199" i="40"/>
  <c r="L173" i="37"/>
  <c r="B5" i="36"/>
  <c r="E12" i="40"/>
  <c r="C161" i="40"/>
  <c r="C187" i="40" s="1"/>
  <c r="E146" i="40"/>
  <c r="E161" i="40" s="1"/>
  <c r="E187" i="40" s="1"/>
  <c r="J146" i="40"/>
  <c r="G70" i="39"/>
  <c r="E37" i="37" s="1"/>
  <c r="D149" i="44"/>
  <c r="J101" i="40"/>
  <c r="E6" i="40"/>
  <c r="F37" i="44"/>
  <c r="I19" i="37"/>
  <c r="E162" i="44"/>
  <c r="H185" i="37"/>
  <c r="E121" i="50"/>
  <c r="D107" i="50"/>
  <c r="D124" i="50" s="1"/>
  <c r="E116" i="50"/>
  <c r="E123" i="50"/>
  <c r="E128" i="50" s="1"/>
  <c r="D116" i="50"/>
  <c r="E95" i="50"/>
  <c r="E107" i="50"/>
  <c r="E114" i="50" s="1"/>
  <c r="E135" i="40" l="1"/>
  <c r="D184" i="40"/>
  <c r="D207" i="40"/>
  <c r="E9" i="44"/>
  <c r="H9" i="44" s="1"/>
  <c r="I10" i="44"/>
  <c r="M61" i="38"/>
  <c r="N61" i="38" s="1"/>
  <c r="D69" i="45"/>
  <c r="E78" i="37"/>
  <c r="F78" i="37"/>
  <c r="E16" i="38"/>
  <c r="I137" i="40"/>
  <c r="I16" i="39"/>
  <c r="I17" i="39"/>
  <c r="E78" i="38"/>
  <c r="E80" i="38" s="1"/>
  <c r="G63" i="38"/>
  <c r="C191" i="40"/>
  <c r="C202" i="40" s="1"/>
  <c r="C205" i="40" s="1"/>
  <c r="N84" i="40"/>
  <c r="F84" i="40"/>
  <c r="F191" i="40" s="1"/>
  <c r="J207" i="40"/>
  <c r="J209" i="40" s="1"/>
  <c r="J184" i="40"/>
  <c r="J201" i="40" s="1"/>
  <c r="U59" i="37"/>
  <c r="H211" i="40"/>
  <c r="H213" i="40"/>
  <c r="C168" i="44"/>
  <c r="B8" i="43"/>
  <c r="E180" i="40"/>
  <c r="E197" i="40" s="1"/>
  <c r="C197" i="40"/>
  <c r="I196" i="40"/>
  <c r="I203" i="40" s="1"/>
  <c r="I185" i="40"/>
  <c r="I193" i="40" s="1"/>
  <c r="F173" i="37"/>
  <c r="C190" i="37"/>
  <c r="B4" i="36"/>
  <c r="B9" i="36" s="1"/>
  <c r="C174" i="37"/>
  <c r="D8" i="36"/>
  <c r="E191" i="37"/>
  <c r="E194" i="37" s="1"/>
  <c r="E182" i="40"/>
  <c r="E199" i="40" s="1"/>
  <c r="E90" i="39"/>
  <c r="D7" i="36"/>
  <c r="F178" i="37"/>
  <c r="D95" i="50"/>
  <c r="D111" i="50"/>
  <c r="D121" i="50" s="1"/>
  <c r="D125" i="50" s="1"/>
  <c r="D133" i="50" s="1"/>
  <c r="D114" i="50"/>
  <c r="E113" i="50"/>
  <c r="E118" i="50" s="1"/>
  <c r="C170" i="44"/>
  <c r="D108" i="37"/>
  <c r="G108" i="37" s="1"/>
  <c r="I109" i="37"/>
  <c r="B9" i="43"/>
  <c r="L191" i="37"/>
  <c r="C194" i="37"/>
  <c r="C174" i="44"/>
  <c r="G167" i="44"/>
  <c r="G174" i="44" s="1"/>
  <c r="C196" i="40"/>
  <c r="E125" i="50"/>
  <c r="E133" i="50" s="1"/>
  <c r="F38" i="37"/>
  <c r="F131" i="37" s="1"/>
  <c r="E71" i="40"/>
  <c r="L189" i="37"/>
  <c r="F37" i="37"/>
  <c r="E38" i="37"/>
  <c r="D38" i="40"/>
  <c r="E38" i="40" s="1"/>
  <c r="U37" i="37"/>
  <c r="E29" i="40"/>
  <c r="E39" i="40" s="1"/>
  <c r="D39" i="40"/>
  <c r="D179" i="40" s="1"/>
  <c r="E179" i="40" s="1"/>
  <c r="D166" i="44"/>
  <c r="D170" i="44" s="1"/>
  <c r="D178" i="44" s="1"/>
  <c r="D151" i="44"/>
  <c r="D159" i="44" s="1"/>
  <c r="H33" i="37"/>
  <c r="C67" i="45"/>
  <c r="D19" i="37"/>
  <c r="G19" i="37" s="1"/>
  <c r="I20" i="37"/>
  <c r="E128" i="40"/>
  <c r="E129" i="40" s="1"/>
  <c r="D129" i="40"/>
  <c r="D181" i="40" s="1"/>
  <c r="M61" i="45"/>
  <c r="L61" i="45"/>
  <c r="H49" i="37"/>
  <c r="F149" i="44"/>
  <c r="F115" i="44"/>
  <c r="C183" i="40"/>
  <c r="C185" i="40" s="1"/>
  <c r="C193" i="40" s="1"/>
  <c r="G123" i="40"/>
  <c r="G122" i="40" s="1"/>
  <c r="C137" i="40"/>
  <c r="E78" i="45"/>
  <c r="G63" i="45"/>
  <c r="G115" i="44"/>
  <c r="G150" i="44"/>
  <c r="G151" i="44" s="1"/>
  <c r="G159" i="44" s="1"/>
  <c r="I71" i="39"/>
  <c r="I11" i="37"/>
  <c r="D10" i="37"/>
  <c r="G10" i="37" s="1"/>
  <c r="F90" i="39"/>
  <c r="F92" i="39" s="1"/>
  <c r="E124" i="50"/>
  <c r="J211" i="40" l="1"/>
  <c r="J213" i="40"/>
  <c r="L174" i="37"/>
  <c r="C182" i="37"/>
  <c r="C183" i="37" s="1"/>
  <c r="L183" i="37" s="1"/>
  <c r="U78" i="37"/>
  <c r="H96" i="37"/>
  <c r="L190" i="37"/>
  <c r="C196" i="37"/>
  <c r="L196" i="37" s="1"/>
  <c r="F190" i="37"/>
  <c r="F196" i="37" s="1"/>
  <c r="I209" i="40"/>
  <c r="N203" i="40"/>
  <c r="F193" i="40"/>
  <c r="F202" i="40"/>
  <c r="F205" i="40" s="1"/>
  <c r="F209" i="40" s="1"/>
  <c r="F191" i="37"/>
  <c r="E10" i="44"/>
  <c r="H10" i="44" s="1"/>
  <c r="I11" i="44"/>
  <c r="I63" i="38"/>
  <c r="G78" i="38"/>
  <c r="C192" i="37"/>
  <c r="L192" i="37" s="1"/>
  <c r="L198" i="37" s="1"/>
  <c r="C173" i="44"/>
  <c r="G173" i="44" s="1"/>
  <c r="G168" i="44"/>
  <c r="D201" i="40"/>
  <c r="E184" i="40"/>
  <c r="E201" i="40" s="1"/>
  <c r="D134" i="50"/>
  <c r="D135" i="50"/>
  <c r="D142" i="50" s="1"/>
  <c r="D143" i="50" s="1"/>
  <c r="E134" i="50"/>
  <c r="E139" i="50" s="1"/>
  <c r="E140" i="50" s="1"/>
  <c r="E135" i="50"/>
  <c r="E142" i="50" s="1"/>
  <c r="E143" i="50" s="1"/>
  <c r="G72" i="40"/>
  <c r="E196" i="40"/>
  <c r="C194" i="40"/>
  <c r="D109" i="37"/>
  <c r="G109" i="37" s="1"/>
  <c r="I110" i="37"/>
  <c r="D180" i="44"/>
  <c r="D188" i="44" s="1"/>
  <c r="D189" i="44" s="1"/>
  <c r="D179" i="44"/>
  <c r="D185" i="44" s="1"/>
  <c r="D186" i="44" s="1"/>
  <c r="C203" i="40"/>
  <c r="N61" i="45"/>
  <c r="D198" i="40"/>
  <c r="E181" i="40"/>
  <c r="E198" i="40" s="1"/>
  <c r="G78" i="45"/>
  <c r="I63" i="45"/>
  <c r="F166" i="44"/>
  <c r="F151" i="44"/>
  <c r="D4" i="43"/>
  <c r="D9" i="43" s="1"/>
  <c r="I21" i="37"/>
  <c r="D20" i="37"/>
  <c r="G20" i="37" s="1"/>
  <c r="U38" i="37"/>
  <c r="E131" i="37"/>
  <c r="U131" i="37" s="1"/>
  <c r="E172" i="37"/>
  <c r="H78" i="37"/>
  <c r="L194" i="37"/>
  <c r="F194" i="37"/>
  <c r="E207" i="40"/>
  <c r="H50" i="37"/>
  <c r="D196" i="40"/>
  <c r="D11" i="37"/>
  <c r="I12" i="37"/>
  <c r="C198" i="37"/>
  <c r="C200" i="40"/>
  <c r="H34" i="37"/>
  <c r="D113" i="50"/>
  <c r="D118" i="50" s="1"/>
  <c r="I12" i="44" l="1"/>
  <c r="E11" i="44"/>
  <c r="H11" i="44" s="1"/>
  <c r="I213" i="40"/>
  <c r="I211" i="40"/>
  <c r="C178" i="44"/>
  <c r="C179" i="44" s="1"/>
  <c r="F213" i="40"/>
  <c r="F211" i="40"/>
  <c r="F162" i="44"/>
  <c r="F159" i="44"/>
  <c r="B47" i="38" s="1"/>
  <c r="D110" i="37"/>
  <c r="G110" i="37" s="1"/>
  <c r="I111" i="37"/>
  <c r="H51" i="37"/>
  <c r="F170" i="44"/>
  <c r="F177" i="44" s="1"/>
  <c r="G166" i="44"/>
  <c r="G170" i="44" s="1"/>
  <c r="G177" i="44" s="1"/>
  <c r="D21" i="37"/>
  <c r="G21" i="37" s="1"/>
  <c r="I22" i="37"/>
  <c r="H35" i="37"/>
  <c r="C202" i="37"/>
  <c r="C200" i="37"/>
  <c r="C209" i="40"/>
  <c r="N204" i="40"/>
  <c r="I15" i="37"/>
  <c r="D15" i="37" s="1"/>
  <c r="G15" i="37" s="1"/>
  <c r="D12" i="37"/>
  <c r="G12" i="37" s="1"/>
  <c r="G11" i="37"/>
  <c r="E189" i="37"/>
  <c r="D4" i="36"/>
  <c r="D9" i="36" s="1"/>
  <c r="F172" i="37"/>
  <c r="F174" i="37" s="1"/>
  <c r="E174" i="37"/>
  <c r="D139" i="50"/>
  <c r="D140" i="50" s="1"/>
  <c r="C180" i="44" l="1"/>
  <c r="I13" i="44"/>
  <c r="E12" i="44"/>
  <c r="H12" i="44" s="1"/>
  <c r="G162" i="44"/>
  <c r="H162" i="44"/>
  <c r="D22" i="37"/>
  <c r="G22" i="37" s="1"/>
  <c r="I23" i="37"/>
  <c r="F179" i="44"/>
  <c r="F180" i="44"/>
  <c r="L202" i="37"/>
  <c r="G179" i="44"/>
  <c r="H52" i="37"/>
  <c r="L200" i="37"/>
  <c r="E192" i="37"/>
  <c r="E198" i="37" s="1"/>
  <c r="F189" i="37"/>
  <c r="F192" i="37" s="1"/>
  <c r="F198" i="37" s="1"/>
  <c r="I112" i="37"/>
  <c r="D111" i="37"/>
  <c r="G111" i="37" s="1"/>
  <c r="C211" i="40"/>
  <c r="C213" i="40"/>
  <c r="E182" i="37"/>
  <c r="E185" i="37"/>
  <c r="G180" i="44"/>
  <c r="B48" i="38"/>
  <c r="D47" i="38"/>
  <c r="D48" i="38" s="1"/>
  <c r="G49" i="38" s="1"/>
  <c r="H52" i="38" s="1"/>
  <c r="E13" i="44" l="1"/>
  <c r="H13" i="44" s="1"/>
  <c r="I14" i="44"/>
  <c r="H53" i="37"/>
  <c r="H188" i="37"/>
  <c r="F182" i="37"/>
  <c r="H181" i="37"/>
  <c r="E183" i="37"/>
  <c r="B47" i="45"/>
  <c r="J183" i="37"/>
  <c r="D112" i="37"/>
  <c r="G112" i="37" s="1"/>
  <c r="I113" i="37"/>
  <c r="G185" i="37"/>
  <c r="J187" i="37" s="1"/>
  <c r="I187" i="37"/>
  <c r="F185" i="37"/>
  <c r="E202" i="37"/>
  <c r="F202" i="37" s="1"/>
  <c r="E200" i="37"/>
  <c r="F200" i="37" s="1"/>
  <c r="I24" i="37"/>
  <c r="D23" i="37"/>
  <c r="H187" i="37"/>
  <c r="I15" i="44" l="1"/>
  <c r="E14" i="44"/>
  <c r="H14" i="44" s="1"/>
  <c r="I114" i="37"/>
  <c r="D113" i="37"/>
  <c r="G113" i="37" s="1"/>
  <c r="B48" i="45"/>
  <c r="D47" i="45"/>
  <c r="D48" i="45" s="1"/>
  <c r="G49" i="45" s="1"/>
  <c r="H52" i="45" s="1"/>
  <c r="D24" i="37"/>
  <c r="I28" i="37"/>
  <c r="G23" i="37"/>
  <c r="D24" i="40"/>
  <c r="I188" i="37"/>
  <c r="I189" i="37" s="1"/>
  <c r="I190" i="37" s="1"/>
  <c r="I191" i="37" s="1"/>
  <c r="I192" i="37" s="1"/>
  <c r="H54" i="37"/>
  <c r="E15" i="44" l="1"/>
  <c r="H15" i="44" s="1"/>
  <c r="I16" i="44"/>
  <c r="I115" i="37"/>
  <c r="D114" i="37"/>
  <c r="G114" i="37" s="1"/>
  <c r="E24" i="40"/>
  <c r="D28" i="37"/>
  <c r="I29" i="37"/>
  <c r="D25" i="40"/>
  <c r="E25" i="40" s="1"/>
  <c r="G24" i="37"/>
  <c r="G25" i="37" s="1"/>
  <c r="D25" i="37"/>
  <c r="D170" i="37" s="1"/>
  <c r="H55" i="37"/>
  <c r="I194" i="37"/>
  <c r="I196" i="37" s="1"/>
  <c r="D26" i="40" l="1"/>
  <c r="N26" i="40" s="1"/>
  <c r="E26" i="40"/>
  <c r="E177" i="40" s="1"/>
  <c r="E16" i="44"/>
  <c r="H16" i="44" s="1"/>
  <c r="I17" i="44"/>
  <c r="I116" i="37"/>
  <c r="D115" i="37"/>
  <c r="G115" i="37" s="1"/>
  <c r="H56" i="37"/>
  <c r="I198" i="37"/>
  <c r="I200" i="37" s="1"/>
  <c r="I202" i="37" s="1"/>
  <c r="G28" i="37"/>
  <c r="C3" i="36"/>
  <c r="G170" i="37"/>
  <c r="I30" i="37"/>
  <c r="D29" i="37"/>
  <c r="G29" i="37" s="1"/>
  <c r="D177" i="40" l="1"/>
  <c r="I18" i="44"/>
  <c r="E17" i="44"/>
  <c r="H17" i="44" s="1"/>
  <c r="I31" i="37"/>
  <c r="D30" i="37"/>
  <c r="G30" i="37" s="1"/>
  <c r="H57" i="37"/>
  <c r="I117" i="37"/>
  <c r="D116" i="37"/>
  <c r="G116" i="37" s="1"/>
  <c r="E18" i="44" l="1"/>
  <c r="H18" i="44" s="1"/>
  <c r="I19" i="44"/>
  <c r="I32" i="37"/>
  <c r="D31" i="37"/>
  <c r="I118" i="37"/>
  <c r="D117" i="37"/>
  <c r="G117" i="37" s="1"/>
  <c r="H58" i="37"/>
  <c r="E19" i="44" l="1"/>
  <c r="H19" i="44" s="1"/>
  <c r="I20" i="44"/>
  <c r="G31" i="37"/>
  <c r="I33" i="37"/>
  <c r="D32" i="37"/>
  <c r="G32" i="37" s="1"/>
  <c r="H59" i="37"/>
  <c r="I119" i="37"/>
  <c r="D118" i="37"/>
  <c r="G118" i="37" s="1"/>
  <c r="E20" i="44" l="1"/>
  <c r="H20" i="44" s="1"/>
  <c r="I21" i="44"/>
  <c r="I34" i="37"/>
  <c r="D33" i="37"/>
  <c r="G33" i="37" s="1"/>
  <c r="H60" i="37"/>
  <c r="D119" i="37"/>
  <c r="G119" i="37" s="1"/>
  <c r="I120" i="37"/>
  <c r="E21" i="44" l="1"/>
  <c r="H21" i="44" s="1"/>
  <c r="I22" i="44"/>
  <c r="I121" i="37"/>
  <c r="D120" i="37"/>
  <c r="G120" i="37" s="1"/>
  <c r="H61" i="37"/>
  <c r="I35" i="37"/>
  <c r="D34" i="37"/>
  <c r="I23" i="44" l="1"/>
  <c r="E22" i="44"/>
  <c r="H22" i="44" s="1"/>
  <c r="G34" i="37"/>
  <c r="I41" i="37"/>
  <c r="D41" i="37" s="1"/>
  <c r="I36" i="37"/>
  <c r="I42" i="37"/>
  <c r="D35" i="37"/>
  <c r="G35" i="37" s="1"/>
  <c r="H62" i="37"/>
  <c r="D121" i="37"/>
  <c r="G121" i="37" s="1"/>
  <c r="I122" i="37"/>
  <c r="D122" i="37" s="1"/>
  <c r="G122" i="37" s="1"/>
  <c r="I123" i="37"/>
  <c r="E23" i="44" l="1"/>
  <c r="H23" i="44" s="1"/>
  <c r="I24" i="44"/>
  <c r="H63" i="37"/>
  <c r="D42" i="37"/>
  <c r="G42" i="37" s="1"/>
  <c r="I43" i="37"/>
  <c r="I37" i="37"/>
  <c r="D37" i="37" s="1"/>
  <c r="D36" i="37"/>
  <c r="G36" i="37" s="1"/>
  <c r="D123" i="37"/>
  <c r="G123" i="37" s="1"/>
  <c r="I125" i="37"/>
  <c r="G41" i="37"/>
  <c r="E24" i="44" l="1"/>
  <c r="I28" i="44"/>
  <c r="D43" i="37"/>
  <c r="G43" i="37" s="1"/>
  <c r="I44" i="37"/>
  <c r="H64" i="37"/>
  <c r="G37" i="37"/>
  <c r="G38" i="37" s="1"/>
  <c r="D38" i="37"/>
  <c r="I126" i="37"/>
  <c r="D125" i="37"/>
  <c r="G125" i="37" s="1"/>
  <c r="I29" i="44" l="1"/>
  <c r="E28" i="44"/>
  <c r="H28" i="44" s="1"/>
  <c r="H24" i="44"/>
  <c r="H25" i="44" s="1"/>
  <c r="H147" i="44" s="1"/>
  <c r="E25" i="44"/>
  <c r="E147" i="44" s="1"/>
  <c r="C3" i="43" s="1"/>
  <c r="H65" i="37"/>
  <c r="I45" i="37"/>
  <c r="D44" i="37"/>
  <c r="I127" i="37"/>
  <c r="D126" i="37"/>
  <c r="G126" i="37" s="1"/>
  <c r="E29" i="44" l="1"/>
  <c r="H29" i="44" s="1"/>
  <c r="I30" i="44"/>
  <c r="D127" i="37"/>
  <c r="G127" i="37" s="1"/>
  <c r="I134" i="37"/>
  <c r="I46" i="37"/>
  <c r="D45" i="37"/>
  <c r="G45" i="37" s="1"/>
  <c r="G44" i="37"/>
  <c r="H66" i="37"/>
  <c r="I31" i="44" l="1"/>
  <c r="E30" i="44"/>
  <c r="H30" i="44" s="1"/>
  <c r="D134" i="37"/>
  <c r="I135" i="37"/>
  <c r="H67" i="37"/>
  <c r="D46" i="37"/>
  <c r="I47" i="37"/>
  <c r="I32" i="44" l="1"/>
  <c r="E31" i="44"/>
  <c r="H31" i="44" s="1"/>
  <c r="I136" i="37"/>
  <c r="D135" i="37"/>
  <c r="G135" i="37" s="1"/>
  <c r="I48" i="37"/>
  <c r="D47" i="37"/>
  <c r="G47" i="37" s="1"/>
  <c r="H68" i="37"/>
  <c r="G46" i="37"/>
  <c r="G134" i="37"/>
  <c r="E32" i="44" l="1"/>
  <c r="H32" i="44" s="1"/>
  <c r="I33" i="44"/>
  <c r="I49" i="37"/>
  <c r="D48" i="37"/>
  <c r="H69" i="37"/>
  <c r="D136" i="37"/>
  <c r="I137" i="37"/>
  <c r="E33" i="44" l="1"/>
  <c r="H33" i="44" s="1"/>
  <c r="I34" i="44"/>
  <c r="G136" i="37"/>
  <c r="I138" i="37"/>
  <c r="D137" i="37"/>
  <c r="G137" i="37" s="1"/>
  <c r="H70" i="37"/>
  <c r="G48" i="37"/>
  <c r="I50" i="37"/>
  <c r="D49" i="37"/>
  <c r="G49" i="37" s="1"/>
  <c r="E34" i="44" l="1"/>
  <c r="H34" i="44" s="1"/>
  <c r="I35" i="44"/>
  <c r="I51" i="37"/>
  <c r="D50" i="37"/>
  <c r="G50" i="37" s="1"/>
  <c r="H71" i="37"/>
  <c r="I139" i="37"/>
  <c r="D138" i="37"/>
  <c r="G138" i="37" s="1"/>
  <c r="E35" i="44" l="1"/>
  <c r="H35" i="44" s="1"/>
  <c r="I36" i="44"/>
  <c r="I140" i="37"/>
  <c r="D139" i="37"/>
  <c r="G139" i="37" s="1"/>
  <c r="H72" i="37"/>
  <c r="I52" i="37"/>
  <c r="D51" i="37"/>
  <c r="G51" i="37" s="1"/>
  <c r="E36" i="44" l="1"/>
  <c r="I40" i="44"/>
  <c r="H73" i="37"/>
  <c r="I53" i="37"/>
  <c r="D52" i="37"/>
  <c r="G52" i="37" s="1"/>
  <c r="D140" i="37"/>
  <c r="G140" i="37" s="1"/>
  <c r="I141" i="37"/>
  <c r="I41" i="44" l="1"/>
  <c r="E40" i="44"/>
  <c r="H40" i="44" s="1"/>
  <c r="H36" i="44"/>
  <c r="H37" i="44" s="1"/>
  <c r="E37" i="44"/>
  <c r="I142" i="37"/>
  <c r="D141" i="37"/>
  <c r="G141" i="37" s="1"/>
  <c r="H74" i="37"/>
  <c r="I54" i="37"/>
  <c r="D53" i="37"/>
  <c r="G53" i="37" s="1"/>
  <c r="I42" i="44" l="1"/>
  <c r="E41" i="44"/>
  <c r="H41" i="44" s="1"/>
  <c r="I55" i="37"/>
  <c r="D54" i="37"/>
  <c r="G54" i="37" s="1"/>
  <c r="H75" i="37"/>
  <c r="I143" i="37"/>
  <c r="D142" i="37"/>
  <c r="G142" i="37" s="1"/>
  <c r="E42" i="44" l="1"/>
  <c r="H42" i="44" s="1"/>
  <c r="I43" i="44"/>
  <c r="H76" i="37"/>
  <c r="I56" i="37"/>
  <c r="D55" i="37"/>
  <c r="G55" i="37" s="1"/>
  <c r="I144" i="37"/>
  <c r="D143" i="37"/>
  <c r="G143" i="37" s="1"/>
  <c r="I44" i="44" l="1"/>
  <c r="E43" i="44"/>
  <c r="H43" i="44" s="1"/>
  <c r="I145" i="37"/>
  <c r="D144" i="37"/>
  <c r="G144" i="37" s="1"/>
  <c r="I57" i="37"/>
  <c r="D56" i="37"/>
  <c r="G56" i="37" s="1"/>
  <c r="H77" i="37"/>
  <c r="E44" i="44" l="1"/>
  <c r="H44" i="44" s="1"/>
  <c r="I45" i="44"/>
  <c r="I58" i="37"/>
  <c r="D57" i="37"/>
  <c r="D145" i="37"/>
  <c r="G145" i="37" s="1"/>
  <c r="I146" i="37"/>
  <c r="E45" i="44" l="1"/>
  <c r="H45" i="44" s="1"/>
  <c r="I46" i="44"/>
  <c r="I147" i="37"/>
  <c r="D146" i="37"/>
  <c r="G146" i="37" s="1"/>
  <c r="D107" i="40"/>
  <c r="G57" i="37"/>
  <c r="I59" i="37"/>
  <c r="D58" i="37"/>
  <c r="G58" i="37" s="1"/>
  <c r="E46" i="44" l="1"/>
  <c r="H46" i="44" s="1"/>
  <c r="I47" i="44"/>
  <c r="D147" i="37"/>
  <c r="G147" i="37" s="1"/>
  <c r="I148" i="37"/>
  <c r="I60" i="37"/>
  <c r="D59" i="37"/>
  <c r="G59" i="37" s="1"/>
  <c r="E107" i="40"/>
  <c r="I48" i="44" l="1"/>
  <c r="I49" i="44" s="1"/>
  <c r="E47" i="44"/>
  <c r="H47" i="44" s="1"/>
  <c r="I61" i="37"/>
  <c r="D60" i="37"/>
  <c r="G60" i="37" s="1"/>
  <c r="I149" i="37"/>
  <c r="D148" i="37"/>
  <c r="G148" i="37" s="1"/>
  <c r="E49" i="44" l="1"/>
  <c r="H49" i="44" s="1"/>
  <c r="I50" i="44"/>
  <c r="D149" i="37"/>
  <c r="G149" i="37" s="1"/>
  <c r="I150" i="37"/>
  <c r="I62" i="37"/>
  <c r="D61" i="37"/>
  <c r="G61" i="37" s="1"/>
  <c r="I51" i="44" l="1"/>
  <c r="E50" i="44"/>
  <c r="H50" i="44" s="1"/>
  <c r="I63" i="37"/>
  <c r="D62" i="37"/>
  <c r="G62" i="37" s="1"/>
  <c r="I151" i="37"/>
  <c r="D150" i="37"/>
  <c r="G150" i="37" s="1"/>
  <c r="I152" i="37"/>
  <c r="I52" i="44" l="1"/>
  <c r="E51" i="44"/>
  <c r="H51" i="44" s="1"/>
  <c r="D152" i="37"/>
  <c r="G152" i="37" s="1"/>
  <c r="I153" i="37"/>
  <c r="D153" i="37" s="1"/>
  <c r="I157" i="37"/>
  <c r="I158" i="37" s="1"/>
  <c r="I159" i="37" s="1"/>
  <c r="I160" i="37" s="1"/>
  <c r="I161" i="37" s="1"/>
  <c r="I162" i="37" s="1"/>
  <c r="I163" i="37" s="1"/>
  <c r="I164" i="37" s="1"/>
  <c r="I165" i="37" s="1"/>
  <c r="I166" i="37" s="1"/>
  <c r="I167" i="37" s="1"/>
  <c r="D151" i="37"/>
  <c r="G151" i="37" s="1"/>
  <c r="I64" i="37"/>
  <c r="D63" i="37"/>
  <c r="G63" i="37" s="1"/>
  <c r="E52" i="44" l="1"/>
  <c r="H52" i="44" s="1"/>
  <c r="I53" i="44"/>
  <c r="I65" i="37"/>
  <c r="D64" i="37"/>
  <c r="G64" i="37" s="1"/>
  <c r="I168" i="37"/>
  <c r="I170" i="37" s="1"/>
  <c r="I176" i="37" s="1"/>
  <c r="D167" i="37"/>
  <c r="G153" i="37"/>
  <c r="D154" i="37"/>
  <c r="E53" i="44" l="1"/>
  <c r="H53" i="44" s="1"/>
  <c r="I54" i="44"/>
  <c r="G154" i="37"/>
  <c r="D176" i="37"/>
  <c r="G167" i="37"/>
  <c r="G168" i="37" s="1"/>
  <c r="D168" i="37"/>
  <c r="D178" i="37" s="1"/>
  <c r="I66" i="37"/>
  <c r="D65" i="37"/>
  <c r="G65" i="37" s="1"/>
  <c r="I55" i="44" l="1"/>
  <c r="E54" i="44"/>
  <c r="H54" i="44" s="1"/>
  <c r="I67" i="37"/>
  <c r="D66" i="37"/>
  <c r="G66" i="37" s="1"/>
  <c r="G178" i="37"/>
  <c r="C7" i="36"/>
  <c r="C6" i="36"/>
  <c r="G176" i="37"/>
  <c r="E55" i="44" l="1"/>
  <c r="H55" i="44" s="1"/>
  <c r="I56" i="44"/>
  <c r="I68" i="37"/>
  <c r="D67" i="37"/>
  <c r="E56" i="44" l="1"/>
  <c r="H56" i="44" s="1"/>
  <c r="I57" i="44"/>
  <c r="G67" i="37"/>
  <c r="D115" i="40"/>
  <c r="I69" i="37"/>
  <c r="D68" i="37"/>
  <c r="G68" i="37" s="1"/>
  <c r="I58" i="44" l="1"/>
  <c r="E57" i="44"/>
  <c r="H57" i="44" s="1"/>
  <c r="I70" i="37"/>
  <c r="D69" i="37"/>
  <c r="G69" i="37" s="1"/>
  <c r="E115" i="40"/>
  <c r="E58" i="44" l="1"/>
  <c r="H58" i="44" s="1"/>
  <c r="I59" i="44"/>
  <c r="I71" i="37"/>
  <c r="D70" i="37"/>
  <c r="E59" i="44" l="1"/>
  <c r="H59" i="44" s="1"/>
  <c r="I60" i="44"/>
  <c r="D118" i="40"/>
  <c r="G70" i="37"/>
  <c r="I72" i="37"/>
  <c r="D71" i="37"/>
  <c r="G71" i="37" s="1"/>
  <c r="E60" i="44" l="1"/>
  <c r="H60" i="44" s="1"/>
  <c r="I61" i="44"/>
  <c r="I73" i="37"/>
  <c r="D72" i="37"/>
  <c r="E118" i="40"/>
  <c r="E61" i="44" l="1"/>
  <c r="H61" i="44" s="1"/>
  <c r="I62" i="44"/>
  <c r="D120" i="40"/>
  <c r="G72" i="37"/>
  <c r="I74" i="37"/>
  <c r="D73" i="37"/>
  <c r="I63" i="44" l="1"/>
  <c r="E62" i="44"/>
  <c r="H62" i="44" s="1"/>
  <c r="D121" i="40"/>
  <c r="E121" i="40" s="1"/>
  <c r="G73" i="37"/>
  <c r="I75" i="37"/>
  <c r="D74" i="37"/>
  <c r="G74" i="37" s="1"/>
  <c r="E120" i="40"/>
  <c r="D123" i="40" l="1"/>
  <c r="F123" i="40" s="1"/>
  <c r="F137" i="40" s="1"/>
  <c r="I68" i="44"/>
  <c r="E63" i="44"/>
  <c r="I76" i="37"/>
  <c r="D75" i="37"/>
  <c r="G75" i="37" s="1"/>
  <c r="E123" i="40"/>
  <c r="D137" i="40" l="1"/>
  <c r="D183" i="40"/>
  <c r="H63" i="44"/>
  <c r="H64" i="44" s="1"/>
  <c r="H149" i="44" s="1"/>
  <c r="E64" i="44"/>
  <c r="E149" i="44" s="1"/>
  <c r="I69" i="44"/>
  <c r="E68" i="44"/>
  <c r="H68" i="44" s="1"/>
  <c r="I77" i="37"/>
  <c r="D76" i="37"/>
  <c r="G76" i="37" s="1"/>
  <c r="D200" i="40"/>
  <c r="D203" i="40" s="1"/>
  <c r="D209" i="40" s="1"/>
  <c r="D185" i="40"/>
  <c r="D193" i="40" s="1"/>
  <c r="E183" i="40"/>
  <c r="E137" i="40"/>
  <c r="G71" i="40"/>
  <c r="E69" i="44" l="1"/>
  <c r="H69" i="44" s="1"/>
  <c r="I70" i="44"/>
  <c r="E166" i="44"/>
  <c r="H166" i="44" s="1"/>
  <c r="C4" i="43"/>
  <c r="N193" i="40"/>
  <c r="E200" i="40"/>
  <c r="E203" i="40" s="1"/>
  <c r="E209" i="40" s="1"/>
  <c r="E185" i="40"/>
  <c r="E193" i="40" s="1"/>
  <c r="N194" i="40" s="1"/>
  <c r="I82" i="37"/>
  <c r="D77" i="37"/>
  <c r="D211" i="40"/>
  <c r="D213" i="40"/>
  <c r="G207" i="40"/>
  <c r="G209" i="40" s="1"/>
  <c r="G137" i="40"/>
  <c r="I71" i="44" l="1"/>
  <c r="E70" i="44"/>
  <c r="H70" i="44" s="1"/>
  <c r="G77" i="37"/>
  <c r="G78" i="37" s="1"/>
  <c r="D78" i="37"/>
  <c r="D172" i="37" s="1"/>
  <c r="D82" i="37"/>
  <c r="I83" i="37"/>
  <c r="E213" i="40"/>
  <c r="E211" i="40"/>
  <c r="G211" i="40"/>
  <c r="G213" i="40"/>
  <c r="I72" i="44" l="1"/>
  <c r="E71" i="44"/>
  <c r="H71" i="44" s="1"/>
  <c r="I84" i="37"/>
  <c r="D83" i="37"/>
  <c r="G83" i="37" s="1"/>
  <c r="G82" i="37"/>
  <c r="C4" i="36"/>
  <c r="D189" i="37"/>
  <c r="G172" i="37"/>
  <c r="I73" i="44" l="1"/>
  <c r="E72" i="44"/>
  <c r="H72" i="44" s="1"/>
  <c r="G189" i="37"/>
  <c r="D84" i="37"/>
  <c r="I85" i="37"/>
  <c r="I87" i="37"/>
  <c r="E73" i="44" l="1"/>
  <c r="H73" i="44" s="1"/>
  <c r="I74" i="44"/>
  <c r="I88" i="37"/>
  <c r="D87" i="37"/>
  <c r="G87" i="37" s="1"/>
  <c r="G84" i="37"/>
  <c r="D85" i="37"/>
  <c r="G85" i="37" s="1"/>
  <c r="I86" i="37"/>
  <c r="D86" i="37" s="1"/>
  <c r="G86" i="37" s="1"/>
  <c r="I75" i="44" l="1"/>
  <c r="E74" i="44"/>
  <c r="H74" i="44" s="1"/>
  <c r="D88" i="37"/>
  <c r="G88" i="37" s="1"/>
  <c r="I89" i="37"/>
  <c r="I76" i="44" l="1"/>
  <c r="E75" i="44"/>
  <c r="H75" i="44" s="1"/>
  <c r="D89" i="37"/>
  <c r="G89" i="37" s="1"/>
  <c r="I90" i="37"/>
  <c r="E76" i="44" l="1"/>
  <c r="H76" i="44" s="1"/>
  <c r="I77" i="44"/>
  <c r="I91" i="37"/>
  <c r="D90" i="37"/>
  <c r="I78" i="44" l="1"/>
  <c r="E77" i="44"/>
  <c r="H77" i="44" s="1"/>
  <c r="G90" i="37"/>
  <c r="I92" i="37"/>
  <c r="D91" i="37"/>
  <c r="G91" i="37" s="1"/>
  <c r="I79" i="44" l="1"/>
  <c r="E78" i="44"/>
  <c r="H78" i="44" s="1"/>
  <c r="I93" i="37"/>
  <c r="D92" i="37"/>
  <c r="G92" i="37" s="1"/>
  <c r="E79" i="44" l="1"/>
  <c r="H79" i="44" s="1"/>
  <c r="I80" i="44"/>
  <c r="D93" i="37"/>
  <c r="G93" i="37" s="1"/>
  <c r="I94" i="37"/>
  <c r="I81" i="44" l="1"/>
  <c r="E80" i="44"/>
  <c r="H80" i="44" s="1"/>
  <c r="I95" i="37"/>
  <c r="I99" i="37" s="1"/>
  <c r="D94" i="37"/>
  <c r="I82" i="44" l="1"/>
  <c r="E81" i="44"/>
  <c r="H81" i="44" s="1"/>
  <c r="G94" i="37"/>
  <c r="G96" i="37" s="1"/>
  <c r="D96" i="37"/>
  <c r="D180" i="37" s="1"/>
  <c r="D99" i="37"/>
  <c r="I102" i="37"/>
  <c r="D102" i="37" s="1"/>
  <c r="G102" i="37" s="1"/>
  <c r="E82" i="44" l="1"/>
  <c r="H82" i="44" s="1"/>
  <c r="I83" i="44"/>
  <c r="G180" i="37"/>
  <c r="C8" i="36"/>
  <c r="D191" i="37"/>
  <c r="G99" i="37"/>
  <c r="G129" i="37" s="1"/>
  <c r="G131" i="37" s="1"/>
  <c r="D129" i="37"/>
  <c r="I87" i="44" l="1"/>
  <c r="E83" i="44"/>
  <c r="D173" i="37"/>
  <c r="D131" i="37"/>
  <c r="G191" i="37"/>
  <c r="D194" i="37"/>
  <c r="G194" i="37" s="1"/>
  <c r="H83" i="44" l="1"/>
  <c r="H84" i="44" s="1"/>
  <c r="H157" i="44" s="1"/>
  <c r="E84" i="44"/>
  <c r="E157" i="44" s="1"/>
  <c r="E87" i="44"/>
  <c r="H87" i="44" s="1"/>
  <c r="I88" i="44"/>
  <c r="D190" i="37"/>
  <c r="C5" i="36"/>
  <c r="C9" i="36" s="1"/>
  <c r="G173" i="37"/>
  <c r="G174" i="37" s="1"/>
  <c r="D174" i="37"/>
  <c r="D182" i="37" s="1"/>
  <c r="I89" i="44" l="1"/>
  <c r="E88" i="44"/>
  <c r="H88" i="44" s="1"/>
  <c r="E168" i="44"/>
  <c r="C8" i="43"/>
  <c r="G182" i="37"/>
  <c r="J184" i="37" s="1"/>
  <c r="I181" i="37"/>
  <c r="D196" i="37"/>
  <c r="G190" i="37"/>
  <c r="D192" i="37"/>
  <c r="D198" i="37" s="1"/>
  <c r="H168" i="44" l="1"/>
  <c r="E173" i="44"/>
  <c r="H173" i="44" s="1"/>
  <c r="I90" i="44"/>
  <c r="E89" i="44"/>
  <c r="H89" i="44" s="1"/>
  <c r="G196" i="37"/>
  <c r="G192" i="37"/>
  <c r="G198" i="37" s="1"/>
  <c r="D200" i="37"/>
  <c r="G200" i="37" s="1"/>
  <c r="D202" i="37"/>
  <c r="H182" i="37"/>
  <c r="I91" i="44" l="1"/>
  <c r="E90" i="44"/>
  <c r="H90" i="44" s="1"/>
  <c r="I182" i="37"/>
  <c r="D204" i="37"/>
  <c r="G202" i="37"/>
  <c r="E91" i="44" l="1"/>
  <c r="H91" i="44" s="1"/>
  <c r="I92" i="44"/>
  <c r="I185" i="37"/>
  <c r="J182" i="37"/>
  <c r="I93" i="44" l="1"/>
  <c r="E92" i="44"/>
  <c r="H92" i="44" s="1"/>
  <c r="K182" i="37"/>
  <c r="I94" i="44" l="1"/>
  <c r="E93" i="44"/>
  <c r="H93" i="44" s="1"/>
  <c r="L182" i="37"/>
  <c r="E94" i="44" l="1"/>
  <c r="H94" i="44" s="1"/>
  <c r="I95" i="44"/>
  <c r="M182" i="37"/>
  <c r="E95" i="44" l="1"/>
  <c r="H95" i="44" s="1"/>
  <c r="I96" i="44"/>
  <c r="N182" i="37"/>
  <c r="E96" i="44" l="1"/>
  <c r="H96" i="44" s="1"/>
  <c r="I97" i="44"/>
  <c r="O182" i="37"/>
  <c r="E97" i="44" l="1"/>
  <c r="H97" i="44" s="1"/>
  <c r="I98" i="44"/>
  <c r="P182" i="37"/>
  <c r="E98" i="44" l="1"/>
  <c r="H98" i="44" s="1"/>
  <c r="I99" i="44"/>
  <c r="Q182" i="37"/>
  <c r="E99" i="44" l="1"/>
  <c r="H99" i="44" s="1"/>
  <c r="I100" i="44"/>
  <c r="R182" i="37"/>
  <c r="E100" i="44" l="1"/>
  <c r="H100" i="44" s="1"/>
  <c r="I101" i="44"/>
  <c r="S182" i="37"/>
  <c r="E101" i="44" l="1"/>
  <c r="H101" i="44" s="1"/>
  <c r="I102" i="44"/>
  <c r="T182" i="37"/>
  <c r="U182" i="37" s="1"/>
  <c r="V182" i="37" s="1"/>
  <c r="E102" i="44" l="1"/>
  <c r="H102" i="44" s="1"/>
  <c r="I103" i="44"/>
  <c r="E103" i="44" l="1"/>
  <c r="H103" i="44" s="1"/>
  <c r="I104" i="44"/>
  <c r="E104" i="44" l="1"/>
  <c r="H104" i="44" s="1"/>
  <c r="I105" i="44"/>
  <c r="E105" i="44" l="1"/>
  <c r="H105" i="44" s="1"/>
  <c r="I106" i="44"/>
  <c r="E106" i="44" l="1"/>
  <c r="H106" i="44" s="1"/>
  <c r="I107" i="44"/>
  <c r="E107" i="44" l="1"/>
  <c r="H107" i="44" s="1"/>
  <c r="I108" i="44"/>
  <c r="E108" i="44" l="1"/>
  <c r="H108" i="44" s="1"/>
  <c r="I109" i="44"/>
  <c r="E109" i="44" l="1"/>
  <c r="H109" i="44" s="1"/>
  <c r="I110" i="44"/>
  <c r="E110" i="44" l="1"/>
  <c r="H110" i="44" s="1"/>
  <c r="I111" i="44"/>
  <c r="E111" i="44" l="1"/>
  <c r="I112" i="44"/>
  <c r="I118" i="44" l="1"/>
  <c r="E112" i="44"/>
  <c r="H112" i="44" s="1"/>
  <c r="H111" i="44"/>
  <c r="H113" i="44" s="1"/>
  <c r="E113" i="44"/>
  <c r="E150" i="44" l="1"/>
  <c r="E115" i="44"/>
  <c r="H150" i="44"/>
  <c r="H151" i="44" s="1"/>
  <c r="H115" i="44"/>
  <c r="E118" i="44"/>
  <c r="H118" i="44" s="1"/>
  <c r="I119" i="44"/>
  <c r="E119" i="44" l="1"/>
  <c r="H119" i="44" s="1"/>
  <c r="I120" i="44"/>
  <c r="E151" i="44"/>
  <c r="E167" i="44"/>
  <c r="C5" i="43"/>
  <c r="H167" i="44" l="1"/>
  <c r="E170" i="44"/>
  <c r="E174" i="44"/>
  <c r="E120" i="44"/>
  <c r="H120" i="44" s="1"/>
  <c r="I121" i="44"/>
  <c r="E121" i="44" l="1"/>
  <c r="H121" i="44" s="1"/>
  <c r="I122" i="44"/>
  <c r="E177" i="44"/>
  <c r="H174" i="44"/>
  <c r="H170" i="44"/>
  <c r="H177" i="44" s="1"/>
  <c r="E180" i="44" l="1"/>
  <c r="H180" i="44" s="1"/>
  <c r="E179" i="44"/>
  <c r="H179" i="44" s="1"/>
  <c r="E122" i="44"/>
  <c r="H122" i="44" s="1"/>
  <c r="I123" i="44"/>
  <c r="I124" i="44" l="1"/>
  <c r="E123" i="44"/>
  <c r="H123" i="44" s="1"/>
  <c r="E124" i="44" l="1"/>
  <c r="H124" i="44" s="1"/>
  <c r="I125" i="44"/>
  <c r="E125" i="44" l="1"/>
  <c r="H125" i="44" s="1"/>
  <c r="I126" i="44"/>
  <c r="E126" i="44" l="1"/>
  <c r="H126" i="44" s="1"/>
  <c r="I127" i="44"/>
  <c r="E127" i="44" l="1"/>
  <c r="H127" i="44" s="1"/>
  <c r="I128" i="44"/>
  <c r="E128" i="44" l="1"/>
  <c r="I129" i="44"/>
  <c r="E129" i="44" s="1"/>
  <c r="H129" i="44" s="1"/>
  <c r="H128" i="44" l="1"/>
  <c r="H130" i="44" s="1"/>
  <c r="H153" i="44" s="1"/>
  <c r="H159" i="44" s="1"/>
  <c r="E130" i="44"/>
  <c r="E153" i="44" s="1"/>
  <c r="C6" i="43" l="1"/>
  <c r="C9" i="43" s="1"/>
  <c r="E159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Jeffrey</author>
  </authors>
  <commentList>
    <comment ref="C68" authorId="0" shapeId="0" xr:uid="{079D2B8A-080F-4FC4-A6FF-B10717438A75}">
      <text>
        <r>
          <rPr>
            <b/>
            <sz val="9"/>
            <color indexed="81"/>
            <rFont val="Tahoma"/>
            <family val="2"/>
          </rPr>
          <t>Jeffrey:</t>
        </r>
        <r>
          <rPr>
            <sz val="9"/>
            <color indexed="81"/>
            <rFont val="Tahoma"/>
            <family val="2"/>
          </rPr>
          <t xml:space="preserve">
Change it 8065.42 from 8054.73</t>
        </r>
      </text>
    </comment>
    <comment ref="D68" authorId="0" shapeId="0" xr:uid="{56186DC0-2AD6-43AA-88E9-F2FE8D62DDEA}">
      <text>
        <r>
          <rPr>
            <b/>
            <sz val="9"/>
            <color indexed="81"/>
            <rFont val="Tahoma"/>
            <family val="2"/>
          </rPr>
          <t>Jeffrey:</t>
        </r>
        <r>
          <rPr>
            <sz val="9"/>
            <color indexed="81"/>
            <rFont val="Tahoma"/>
            <family val="2"/>
          </rPr>
          <t xml:space="preserve">
Change it 8065.42 from 8054.73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6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1/3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63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1/3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5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Boiler Servicing &amp; repair-Oct 15-Mar 16 -4,564.87 pounds
</t>
        </r>
      </text>
    </comment>
    <comment ref="E42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SF 6 replace motor for roof fan and 46 access panel
</t>
        </r>
      </text>
    </comment>
    <comment ref="E43" authorId="0" shapeId="0" xr:uid="{00000000-0006-0000-0800-00000300000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SF 6 replace motor for roof fan and 46 access 
panel</t>
        </r>
      </text>
    </comment>
    <comment ref="E52" authorId="0" shapeId="0" xr:uid="{00000000-0006-0000-0800-00000400000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Boiler room refurbishment-7,250 pounds</t>
        </r>
      </text>
    </comment>
    <comment ref="E134" authorId="0" shapeId="0" xr:uid="{00000000-0006-0000-0800-00000500000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Flat 70-Void clean, clear &amp; reprint-3,965 pounds
</t>
        </r>
      </text>
    </comment>
    <comment ref="E141" authorId="0" shapeId="0" xr:uid="{00000000-0006-0000-0800-00000600000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Flat 70-refurblisment- 3,004.23 pounds
</t>
        </r>
      </text>
    </comment>
  </commentList>
</comments>
</file>

<file path=xl/sharedStrings.xml><?xml version="1.0" encoding="utf-8"?>
<sst xmlns="http://schemas.openxmlformats.org/spreadsheetml/2006/main" count="3608" uniqueCount="617">
  <si>
    <t>Paladin bin-10-11</t>
  </si>
  <si>
    <t>Description</t>
  </si>
  <si>
    <t>Codes</t>
  </si>
  <si>
    <t>Income</t>
  </si>
  <si>
    <t>Management, Maint Allow</t>
  </si>
  <si>
    <t>Tenant Allowances SC</t>
  </si>
  <si>
    <t>Storeshed Allowance</t>
  </si>
  <si>
    <t>Repairs Allowances</t>
  </si>
  <si>
    <t>Cyclical Dec Allowance</t>
  </si>
  <si>
    <t>Estate Services</t>
  </si>
  <si>
    <t>Insurance Allowance</t>
  </si>
  <si>
    <t>Rent Collection allowance</t>
  </si>
  <si>
    <t>Void allowance reletting</t>
  </si>
  <si>
    <t>L.H Service Charge</t>
  </si>
  <si>
    <t>Bank Interest</t>
  </si>
  <si>
    <t>Ballplay area Fund</t>
  </si>
  <si>
    <t>Community Room</t>
  </si>
  <si>
    <t>Recharge Bulk rubbish</t>
  </si>
  <si>
    <t>Recharge repairs</t>
  </si>
  <si>
    <t>Windows Door key income</t>
  </si>
  <si>
    <t>Insurance Claims</t>
  </si>
  <si>
    <t>Transfer  from Reserves</t>
  </si>
  <si>
    <t>Totals income</t>
  </si>
  <si>
    <t>Communal Electricity</t>
  </si>
  <si>
    <t>Estate repairs</t>
  </si>
  <si>
    <t>Contractors</t>
  </si>
  <si>
    <t>Contractor Asbestos</t>
  </si>
  <si>
    <t>Drain Clearance</t>
  </si>
  <si>
    <t>Pest control</t>
  </si>
  <si>
    <t>Estate Lighting repairs</t>
  </si>
  <si>
    <t>Fencing repairs/ Main</t>
  </si>
  <si>
    <t>Vandalism</t>
  </si>
  <si>
    <t>Insurance Claim repairs</t>
  </si>
  <si>
    <t>Rechargeable repairs</t>
  </si>
  <si>
    <t>Estate Roof+B Rep</t>
  </si>
  <si>
    <t>Entryphone elect</t>
  </si>
  <si>
    <t>Entryphone Mech repair</t>
  </si>
  <si>
    <t>Roof fan contract</t>
  </si>
  <si>
    <t>Roof fan repairs</t>
  </si>
  <si>
    <t>Lightning conductor cont</t>
  </si>
  <si>
    <t>Lift Trapping Patrol Call out</t>
  </si>
  <si>
    <t>Emergency patrol contract</t>
  </si>
  <si>
    <t>Block Cleaning Material</t>
  </si>
  <si>
    <t>Estate Tools</t>
  </si>
  <si>
    <t>Estate clothing</t>
  </si>
  <si>
    <t>Estate repairs Material</t>
  </si>
  <si>
    <t>Window cleaning</t>
  </si>
  <si>
    <t>Garden maintenance</t>
  </si>
  <si>
    <t>Dry riser Contract</t>
  </si>
  <si>
    <t>Dry Riser Repairs</t>
  </si>
  <si>
    <t>Paladin Bin Rental</t>
  </si>
  <si>
    <t>Play Ground Miant. Contract</t>
  </si>
  <si>
    <t>Play ground repairs</t>
  </si>
  <si>
    <t>Ball Park repairs</t>
  </si>
  <si>
    <t>Bulk Rubbish fees</t>
  </si>
  <si>
    <t xml:space="preserve">Cyclical Trees Work </t>
  </si>
  <si>
    <t xml:space="preserve">Cyclical Drain Clearance </t>
  </si>
  <si>
    <t>Cyclical Paving</t>
  </si>
  <si>
    <t>Cyclical Dec. Materials</t>
  </si>
  <si>
    <t>Cyclical Dec. Contractors</t>
  </si>
  <si>
    <t>Totals</t>
  </si>
  <si>
    <t>Pensions contribution</t>
  </si>
  <si>
    <t xml:space="preserve">Staff recruitment </t>
  </si>
  <si>
    <t>Cleaning Labour cost</t>
  </si>
  <si>
    <t>Contractor labour cost element</t>
  </si>
  <si>
    <t>Staff Training</t>
  </si>
  <si>
    <t>Staff Subs and Travel</t>
  </si>
  <si>
    <t>Office rent</t>
  </si>
  <si>
    <t>Office Water rate</t>
  </si>
  <si>
    <t>Office rate</t>
  </si>
  <si>
    <t>Insurance Policies</t>
  </si>
  <si>
    <t>Telephone</t>
  </si>
  <si>
    <t>Print/post</t>
  </si>
  <si>
    <t>Subscription &amp;reg fees</t>
  </si>
  <si>
    <t>Stationery</t>
  </si>
  <si>
    <t>Office Cleaning</t>
  </si>
  <si>
    <t>Office repairs/Improvement</t>
  </si>
  <si>
    <t>Office Electricity</t>
  </si>
  <si>
    <t>Office Equipment</t>
  </si>
  <si>
    <t>Doc Distribution</t>
  </si>
  <si>
    <t>Computer/Copier rental</t>
  </si>
  <si>
    <t>Copier Maint. contract</t>
  </si>
  <si>
    <t>Office Security</t>
  </si>
  <si>
    <t>Committee Subsistence</t>
  </si>
  <si>
    <t>Committee travel/Child care</t>
  </si>
  <si>
    <t>Sundries</t>
  </si>
  <si>
    <t>Community events</t>
  </si>
  <si>
    <t>Depreciations</t>
  </si>
  <si>
    <t>Bank Charges</t>
  </si>
  <si>
    <t>Annual returns</t>
  </si>
  <si>
    <t>8020-8025</t>
  </si>
  <si>
    <t>Audit fees</t>
  </si>
  <si>
    <t>Legal fees</t>
  </si>
  <si>
    <t>Committee training</t>
  </si>
  <si>
    <t>GHC Management Service</t>
  </si>
  <si>
    <t>Contingencies</t>
  </si>
  <si>
    <t>Bad debts</t>
  </si>
  <si>
    <t>Total</t>
  </si>
  <si>
    <t>Total Service Cost</t>
  </si>
  <si>
    <t>Tenants Cost</t>
  </si>
  <si>
    <t>Tenant repairs Contractors</t>
  </si>
  <si>
    <t>Tenant repairs/Materials</t>
  </si>
  <si>
    <t>Tenant repairs tools</t>
  </si>
  <si>
    <t>Tenant repairs Labour</t>
  </si>
  <si>
    <t>Gas Servicing Contract</t>
  </si>
  <si>
    <t>Storeshed repair Labour</t>
  </si>
  <si>
    <t>Void property cost</t>
  </si>
  <si>
    <t>Tenant Asbestos cost</t>
  </si>
  <si>
    <t>Bad debts write Off</t>
  </si>
  <si>
    <t>Rent Software Support</t>
  </si>
  <si>
    <t>Tenant Plan repairs Contra</t>
  </si>
  <si>
    <t>Tenant Plan repair Consult</t>
  </si>
  <si>
    <t>Tenant Insurance Claims</t>
  </si>
  <si>
    <t>Total Tenant Costs</t>
  </si>
  <si>
    <t>Improvement</t>
  </si>
  <si>
    <t>Filing system</t>
  </si>
  <si>
    <t>CCTV</t>
  </si>
  <si>
    <t>Entrance Halls</t>
  </si>
  <si>
    <t>Main stairs</t>
  </si>
  <si>
    <t>Perimetre fencing</t>
  </si>
  <si>
    <t>Entryphone/Main doors</t>
  </si>
  <si>
    <t>Total Improvement costs</t>
  </si>
  <si>
    <t>Total Income</t>
  </si>
  <si>
    <t>B/Maintenance/repairs cost</t>
  </si>
  <si>
    <t>Management/Service Cost</t>
  </si>
  <si>
    <t>Total Tenant cost</t>
  </si>
  <si>
    <t>Total Improvement Cost</t>
  </si>
  <si>
    <t>Net Surplus ( Deficit )</t>
  </si>
  <si>
    <t>Service Charges</t>
  </si>
  <si>
    <t>Less 30% Tenant Admin cost</t>
  </si>
  <si>
    <t>Total Cost for year</t>
  </si>
  <si>
    <t xml:space="preserve"> </t>
  </si>
  <si>
    <t>Checked and Approval by,</t>
  </si>
  <si>
    <t>Mr Rachid Bellili</t>
  </si>
  <si>
    <t>General Manager</t>
  </si>
  <si>
    <t>Treasurer</t>
  </si>
  <si>
    <t>Consultants / Contractors  Cost</t>
  </si>
  <si>
    <t>Less 40% Tenant Staff cost</t>
  </si>
  <si>
    <t xml:space="preserve"> LH split          39 flats</t>
  </si>
  <si>
    <t>Tenant split      39 flats</t>
  </si>
  <si>
    <t>Gardening Labour Cost</t>
  </si>
  <si>
    <t>Administration /Service  Cost</t>
  </si>
  <si>
    <t>Rent acountaing admin work</t>
  </si>
  <si>
    <t xml:space="preserve">Tenant Plan Repair Material </t>
  </si>
  <si>
    <t>Garages Repairs Labour</t>
  </si>
  <si>
    <t>Storshed repairs materials</t>
  </si>
  <si>
    <t>Garages Repair materials</t>
  </si>
  <si>
    <t>Staffing &amp; Contractors cost</t>
  </si>
  <si>
    <t>Accruals</t>
  </si>
  <si>
    <t>Audit expenses</t>
  </si>
  <si>
    <t>Tenant Planned Labour</t>
  </si>
  <si>
    <t>A</t>
  </si>
  <si>
    <t>B</t>
  </si>
  <si>
    <t>C</t>
  </si>
  <si>
    <t>D</t>
  </si>
  <si>
    <t>McCarthy Court Co-Operative Ltd</t>
  </si>
  <si>
    <t>Total Income Minus ABC to date</t>
  </si>
  <si>
    <t>Spend to date</t>
  </si>
  <si>
    <t>SERVICE CHARGES PROJECTION</t>
  </si>
  <si>
    <t>BUDGET</t>
  </si>
  <si>
    <t>BLOCK COST</t>
  </si>
  <si>
    <t>MCMO 1-42</t>
  </si>
  <si>
    <t>% MCMO 1-42</t>
  </si>
  <si>
    <t>MCMO 43-78</t>
  </si>
  <si>
    <t>% MCMO 43-78</t>
  </si>
  <si>
    <t>TOTAL</t>
  </si>
  <si>
    <t>ACTUAL</t>
  </si>
  <si>
    <t>Estate</t>
  </si>
  <si>
    <t>Block Roof+B Rep</t>
  </si>
  <si>
    <t>VARIANCE</t>
  </si>
  <si>
    <t>Estate Maintenance/repairs Cost</t>
  </si>
  <si>
    <t>Staff national insurance</t>
  </si>
  <si>
    <t xml:space="preserve">Total Income </t>
  </si>
  <si>
    <t>Received to date</t>
  </si>
  <si>
    <t>Block repairs contractors</t>
  </si>
  <si>
    <t>Entryphone elec repairs</t>
  </si>
  <si>
    <t>Entryphone Mech repairs</t>
  </si>
  <si>
    <t>MCMO website</t>
  </si>
  <si>
    <t>Estate Electricity</t>
  </si>
  <si>
    <t>Management Service Cost</t>
  </si>
  <si>
    <t>Variance</t>
  </si>
  <si>
    <t xml:space="preserve">Tenant Cyclical Reserves </t>
  </si>
  <si>
    <t>Actual received</t>
  </si>
  <si>
    <t>Other Income</t>
  </si>
  <si>
    <t>Actual Spend</t>
  </si>
  <si>
    <t>Entryphone electronice maintenance</t>
  </si>
  <si>
    <t>Co-op Office and adminstration costs</t>
  </si>
  <si>
    <t>Total Co-op Office and adminstration costs</t>
  </si>
  <si>
    <t>Staffing cost</t>
  </si>
  <si>
    <t>Management Services Cost</t>
  </si>
  <si>
    <t>Total Staffing cost</t>
  </si>
  <si>
    <t>Emergency service</t>
  </si>
  <si>
    <t>Total Emergency service cost</t>
  </si>
  <si>
    <t>Entryphone keys stock</t>
  </si>
  <si>
    <t xml:space="preserve">Provision for Maintenance  Reserves </t>
  </si>
  <si>
    <t>Total Estate Maintenance/repairs Cost</t>
  </si>
  <si>
    <t>Estate cleaning</t>
  </si>
  <si>
    <t>Estate Cleaning Material</t>
  </si>
  <si>
    <t>Total Estate cleaning</t>
  </si>
  <si>
    <t>Total Garden maintenance</t>
  </si>
  <si>
    <t>Block Maintrenance / repairs cost</t>
  </si>
  <si>
    <t>Emergency service cost</t>
  </si>
  <si>
    <t>Estate cleaning cost</t>
  </si>
  <si>
    <t>Garden maintenance cost</t>
  </si>
  <si>
    <t>Estate maintenance /repairs cost</t>
  </si>
  <si>
    <t>Actual</t>
  </si>
  <si>
    <t>Block Maintenance/repairs cost</t>
  </si>
  <si>
    <t>Estate Maintenance/repairs cost</t>
  </si>
  <si>
    <t>Rent accounting admin work</t>
  </si>
  <si>
    <t>Cyclical Repairs &amp; Maintenance Materials</t>
  </si>
  <si>
    <t>Overdue  Repairs &amp; Maintenance</t>
  </si>
  <si>
    <t xml:space="preserve">Cyclical Repairs &amp; Maintenance  Labour </t>
  </si>
  <si>
    <t>Staff cover</t>
  </si>
  <si>
    <t>Budget to date</t>
  </si>
  <si>
    <t>Variance for the year</t>
  </si>
  <si>
    <t>Budget to date variance</t>
  </si>
  <si>
    <t>Monies left</t>
  </si>
  <si>
    <t>Left for Year</t>
  </si>
  <si>
    <t xml:space="preserve">   </t>
  </si>
  <si>
    <t>Cost</t>
  </si>
  <si>
    <t xml:space="preserve">Office Furniture &amp; Equipment  </t>
  </si>
  <si>
    <t xml:space="preserve">Computer &amp; Software  </t>
  </si>
  <si>
    <t>Block/Estate tools &amp; equip</t>
  </si>
  <si>
    <t xml:space="preserve">  Balance bought forward</t>
  </si>
  <si>
    <t xml:space="preserve"> Additional up to date</t>
  </si>
  <si>
    <t xml:space="preserve">  Disposal/write off up to date</t>
  </si>
  <si>
    <t xml:space="preserve"> Balance carried forward</t>
  </si>
  <si>
    <t xml:space="preserve">Accumulated depreciation For </t>
  </si>
  <si>
    <t xml:space="preserve">  Depreciation up to date</t>
  </si>
  <si>
    <t xml:space="preserve">  Write off</t>
  </si>
  <si>
    <t>NET BOOK VALUE 2005/06</t>
  </si>
  <si>
    <t>NET BOOK VALUE 2004/05</t>
  </si>
  <si>
    <t>Profit and loss account</t>
  </si>
  <si>
    <t>Other improvement</t>
  </si>
  <si>
    <t>Cyclical maintenace res.</t>
  </si>
  <si>
    <t>Opening balances</t>
  </si>
  <si>
    <t>Transfer</t>
  </si>
  <si>
    <t>Movement during the period</t>
  </si>
  <si>
    <t>Closing balance</t>
  </si>
  <si>
    <t xml:space="preserve">Balance in statement </t>
  </si>
  <si>
    <t>Unreconciled net total</t>
  </si>
  <si>
    <t>Balance in cash book</t>
  </si>
  <si>
    <t>Barclays -New Rent account-A/C 80213551</t>
  </si>
  <si>
    <t>Barclays- Mgt account-A/C 63455963</t>
  </si>
  <si>
    <t>Petty cash</t>
  </si>
  <si>
    <t>6000 Communal electricity</t>
  </si>
  <si>
    <t xml:space="preserve">Dept </t>
  </si>
  <si>
    <t>Journal</t>
  </si>
  <si>
    <t>Start date</t>
  </si>
  <si>
    <t>End date</t>
  </si>
  <si>
    <t>Amount</t>
  </si>
  <si>
    <t>Tax expenses</t>
  </si>
  <si>
    <t xml:space="preserve">Weekend care taker </t>
  </si>
  <si>
    <t>Contractor labour cost</t>
  </si>
  <si>
    <t>T9</t>
  </si>
  <si>
    <t>1103</t>
  </si>
  <si>
    <t>PREPAYMENTS</t>
  </si>
  <si>
    <t>6000</t>
  </si>
  <si>
    <t>COMMUNAL ELECTRICITY</t>
  </si>
  <si>
    <t>2109</t>
  </si>
  <si>
    <t>ACCRUALS</t>
  </si>
  <si>
    <t>5042</t>
  </si>
  <si>
    <t>GARDENING COST</t>
  </si>
  <si>
    <t>9013</t>
  </si>
  <si>
    <t>RENT PROGRAM SUPPORT</t>
  </si>
  <si>
    <t>N/C</t>
  </si>
  <si>
    <t>Name</t>
  </si>
  <si>
    <t>Dept</t>
  </si>
  <si>
    <t>Details</t>
  </si>
  <si>
    <t>T/C</t>
  </si>
  <si>
    <t>Debit</t>
  </si>
  <si>
    <t>Credit</t>
  </si>
  <si>
    <t xml:space="preserve">Other Income </t>
  </si>
  <si>
    <t>Estate Services Allowance</t>
  </si>
  <si>
    <t>Rent Collection Allowance</t>
  </si>
  <si>
    <t>Bad Debt Rent Allowance</t>
  </si>
  <si>
    <t>Management, Maint Allowance</t>
  </si>
  <si>
    <t>COMMUNAL ELECTRICITY ( BLOCK COST  )</t>
  </si>
  <si>
    <t>Income and expenditure reserve</t>
  </si>
  <si>
    <t>Cyclical Maintenance Reserve</t>
  </si>
  <si>
    <t>Balance b/f</t>
  </si>
  <si>
    <t>Movement of the year</t>
  </si>
  <si>
    <t>Balance c/f</t>
  </si>
  <si>
    <t>Differences</t>
  </si>
  <si>
    <t>Figure</t>
  </si>
  <si>
    <t>7020 Estimation for office telephone-</t>
  </si>
  <si>
    <t xml:space="preserve">7020 Estimation for fax - </t>
  </si>
  <si>
    <t>Estate Drain Clearance</t>
  </si>
  <si>
    <t>2/3 to block</t>
  </si>
  <si>
    <t>1/3 to estate</t>
  </si>
  <si>
    <t>NIC for payroll Feb 09</t>
  </si>
  <si>
    <t>Corporation tax</t>
  </si>
  <si>
    <t>Total block cost &amp; Estate</t>
  </si>
  <si>
    <t>Total Block Cost</t>
  </si>
  <si>
    <t>Checked And Approval By,</t>
  </si>
  <si>
    <t>Left to Date</t>
  </si>
  <si>
    <t>Entry key stock</t>
  </si>
  <si>
    <t>Bad Debt Allowance</t>
  </si>
  <si>
    <t>Estate Lighting maintenance</t>
  </si>
  <si>
    <t>Accountant Fees</t>
  </si>
  <si>
    <t/>
  </si>
  <si>
    <t>7000</t>
  </si>
  <si>
    <t>OFFICE RENT</t>
  </si>
  <si>
    <t>Budget 2010/11</t>
  </si>
  <si>
    <t>HBEN account</t>
  </si>
  <si>
    <t>bonus pf</t>
  </si>
  <si>
    <t>item</t>
  </si>
  <si>
    <t>1102</t>
  </si>
  <si>
    <t>SUNDRY DEBTORS</t>
  </si>
  <si>
    <t>0</t>
  </si>
  <si>
    <t>1</t>
  </si>
  <si>
    <t>2</t>
  </si>
  <si>
    <t>Bea Ziegler</t>
  </si>
  <si>
    <t>Ex.Ref</t>
  </si>
  <si>
    <t xml:space="preserve">  </t>
  </si>
  <si>
    <t xml:space="preserve">Budget to Date </t>
  </si>
  <si>
    <t>Emergency Patrol Cost 13-14</t>
  </si>
  <si>
    <t>Housing patrol-13-14</t>
  </si>
  <si>
    <t>Office Administration Staff</t>
  </si>
  <si>
    <t>Budget 15-16</t>
  </si>
  <si>
    <t>2015-16</t>
  </si>
  <si>
    <t>Budget 2015-16</t>
  </si>
  <si>
    <t>NET BOOK VALUE 2015-16</t>
  </si>
  <si>
    <t>Budget for 2015-2016</t>
  </si>
  <si>
    <t>Communal electricity for Apr 15 Flat 1-42</t>
  </si>
  <si>
    <t>Communal electricity for Apr 15  Flat 43-78</t>
  </si>
  <si>
    <t>Garden maintenance contract for Apr 15</t>
  </si>
  <si>
    <t>Sage Line cover for Apr 15</t>
  </si>
  <si>
    <t>Being reclass garden maint for Apr 15 to prepayment</t>
  </si>
  <si>
    <t>Being garden maint for Apr 15 overcharges</t>
  </si>
  <si>
    <t>Being reclass 43-78 60% elec for WBC fm prepay to accrual</t>
  </si>
  <si>
    <t>Being reclass prepay for 60% WBC elec for Mar 15 to sundry d</t>
  </si>
  <si>
    <t>Being office rent accrued for Apr 15</t>
  </si>
  <si>
    <t>Being reclass from audit fees 14-15  to accrual</t>
  </si>
  <si>
    <t>AUDIT FEES</t>
  </si>
  <si>
    <t>8040</t>
  </si>
  <si>
    <t>Being audit fees 14-15 under accrual 1985-1800</t>
  </si>
  <si>
    <t>Being allocation of elec for May 15 1-42</t>
  </si>
  <si>
    <t>Being elec 1-42 for May 15</t>
  </si>
  <si>
    <t>Being trx 136691 share 1/3 to estate May 15</t>
  </si>
  <si>
    <t>Being reclass elec 43-78 May 15 WPC 60% to Block</t>
  </si>
  <si>
    <t>Being office rent accrued for May 15</t>
  </si>
  <si>
    <t>Being garden maint for May 15 reclass fm accrual to prepay</t>
  </si>
  <si>
    <t>Being share of 60% WPC elec for May 15</t>
  </si>
  <si>
    <t>Sage Line cover for May 15</t>
  </si>
  <si>
    <t>Garden maintenance contract for May 15</t>
  </si>
  <si>
    <t>Communal electricity for May 15-Flat 43-78-estate 1/3</t>
  </si>
  <si>
    <t>Communal electricity for May 15 -Flat 1-42</t>
  </si>
  <si>
    <t>Communal electricity for May 15  Flat 1-42</t>
  </si>
  <si>
    <t>Being garden maint for Jun 15</t>
  </si>
  <si>
    <t>Being share of 1/3 elec to estate for Jun 15 trx 137221</t>
  </si>
  <si>
    <t>Being share of 1/3 elec to estate for Jun 15 trx 137222</t>
  </si>
  <si>
    <t>Communal electricity for Jun 15 Flat 1-42</t>
  </si>
  <si>
    <t>Communal electricity for Jun 15 -Flat 1-42</t>
  </si>
  <si>
    <t>Communal electricity for Jun 15 Flat 43-78</t>
  </si>
  <si>
    <t>Sage Line cover for Jun 15</t>
  </si>
  <si>
    <t>Being office rent for Jun 15 accrued</t>
  </si>
  <si>
    <t>Being reversal of elec 43-78 to WBC May 15</t>
  </si>
  <si>
    <t>Being garden maintenance for Jul 15</t>
  </si>
  <si>
    <t>Being electricity charges for 43-78 for Jul 15 -60% prepay</t>
  </si>
  <si>
    <t>Being reversal of office rent Jun 15</t>
  </si>
  <si>
    <t>Being office rent for 2-3/7/15 accrual</t>
  </si>
  <si>
    <t>Being office rent for 4/7-31/7/15</t>
  </si>
  <si>
    <t>Communal electricity for Jul 15 Flat 1-42</t>
  </si>
  <si>
    <t>Communal electricity for Jul 15 Flat 43-78</t>
  </si>
  <si>
    <t>Sage Line cover for Jul 15</t>
  </si>
  <si>
    <t>Being trx 138411 share 1/3 elec to estate Jul 15</t>
  </si>
  <si>
    <t>Being trx 138410 share 1/3 elec to estate Jul 15</t>
  </si>
  <si>
    <t>Being share of 1/3 to estate 1-42 for Jul 15</t>
  </si>
  <si>
    <t>Being share of 1/3 for WBC 60% Aug 15</t>
  </si>
  <si>
    <t>Being share of 1/3 for WBC 60% Jul 15</t>
  </si>
  <si>
    <t>Being elec WBC Mar 15 overcharged now adjust</t>
  </si>
  <si>
    <t>Reversal of elec WBC 60%-Jul 159.3+Aug-140.9</t>
  </si>
  <si>
    <t>Being reclass garden maint from prepay to accrual Aug 15</t>
  </si>
  <si>
    <t>Being office rent for Aug 15</t>
  </si>
  <si>
    <t>Being garden maintenance for Aug 15</t>
  </si>
  <si>
    <t>Being allocate 1/3 share of elec to estate Aug 15 43-78</t>
  </si>
  <si>
    <t>Being allocate 1/3 share of elec to estate Aug 15 1-42</t>
  </si>
  <si>
    <t>Being 43-78 elec for Aug 15-prepay-60%</t>
  </si>
  <si>
    <t>Sage Line cover for Aug 15</t>
  </si>
  <si>
    <t>Communal electricity for Aug 15 Flat 43-78</t>
  </si>
  <si>
    <t>Communal electricity for Aug 15 Flat 1-42</t>
  </si>
  <si>
    <t>Being sage line cover Sep 15</t>
  </si>
  <si>
    <t>Being electricity for 43-78 1/3 Sep 15 allocate</t>
  </si>
  <si>
    <t>Being electricity for 1-42 1/3 Sep 15 allocate</t>
  </si>
  <si>
    <t>Garden maintenance contract for Sep 15</t>
  </si>
  <si>
    <t>Communal electricity for Sep 15 Flat 43-78</t>
  </si>
  <si>
    <t>Being office rent for Sep 15 accrued</t>
  </si>
  <si>
    <t>Being garden cost for Aug 15 reclass to prepay</t>
  </si>
  <si>
    <t>Being garden cost for May-Aug 15 overcharged, now adjust</t>
  </si>
  <si>
    <t>Being sage line cover Oct 15</t>
  </si>
  <si>
    <t>Communal electricity for Oct 15  Flat 1-42</t>
  </si>
  <si>
    <t>Communal electricity for Oct 15  Flat 43-78</t>
  </si>
  <si>
    <t>Garden maintenance contract for Oct 15</t>
  </si>
  <si>
    <t>Being office rent accrued for Oct 15</t>
  </si>
  <si>
    <t>Sage Line cover for Nov 15</t>
  </si>
  <si>
    <t>Being reverse of garden maint for Sep &amp; Oct 15</t>
  </si>
  <si>
    <t>Communal electricity for Nov 15 Flat 1-42</t>
  </si>
  <si>
    <t>Communal electricity for Nov 15  Flat 1-42</t>
  </si>
  <si>
    <t>Communal electricity for Nov 15 -Flat 1-42</t>
  </si>
  <si>
    <t>Communal electricity for Nov 15-Flat 43-78-estate 1/3</t>
  </si>
  <si>
    <t>Being office rent accrued for Nov 15</t>
  </si>
  <si>
    <t>Being allocate electricity for Oct 15 1-42</t>
  </si>
  <si>
    <t>Being allocate electricity for Nov  15 1-42</t>
  </si>
  <si>
    <t>Being allocate electricity for Oct 15 43-78</t>
  </si>
  <si>
    <t>Being allocate electricity for Nov 15 43-78</t>
  </si>
  <si>
    <t>QTR 4</t>
  </si>
  <si>
    <t>Communal electricity for Jan 16 Flat 43-78</t>
  </si>
  <si>
    <t>Sage Line cover for Jan 16</t>
  </si>
  <si>
    <t>Being garden maintenance for Jan 16 accrued</t>
  </si>
  <si>
    <t>Being office rent for Jan 16 accrued</t>
  </si>
  <si>
    <t>Being allocation 1/3 for Jan 16 to estate1-42</t>
  </si>
  <si>
    <t>Being allocation 1/3 for Jan 16 to estate 43-78</t>
  </si>
  <si>
    <t>Communal electricity for Jan 16  Flat 1-42</t>
  </si>
  <si>
    <t>Mar 16</t>
  </si>
  <si>
    <t>Garden Maintenance for  Jan &amp; Mar 16</t>
  </si>
  <si>
    <t>Office rent  Jul 15-Mar 16</t>
  </si>
  <si>
    <t>1020</t>
  </si>
  <si>
    <t>ACCUMULATED DEPRECIATION</t>
  </si>
  <si>
    <t>Being depreciation for 15-16</t>
  </si>
  <si>
    <t>8000</t>
  </si>
  <si>
    <t>DEPRECIATION</t>
  </si>
  <si>
    <t>8100</t>
  </si>
  <si>
    <t>BAD DEBTS</t>
  </si>
  <si>
    <t>Being provn for bad debt 15-16</t>
  </si>
  <si>
    <t>1112</t>
  </si>
  <si>
    <t>PROV FOR DOUBTFUL DEBTS</t>
  </si>
  <si>
    <t>6130</t>
  </si>
  <si>
    <t>EMERGENCY PATROL CONTRACT</t>
  </si>
  <si>
    <t>Being provn for emergency patrol 15-16 accrued</t>
  </si>
  <si>
    <t>Being rent under provn for Jul 15-Mar 16-291.67-229.17*9</t>
  </si>
  <si>
    <t>Budget 16-17</t>
  </si>
  <si>
    <t>NET BOOK VALUE 2016-17</t>
  </si>
  <si>
    <t>Bulk rubbish-Oct-15-Mar 16</t>
  </si>
  <si>
    <t>N/C*</t>
  </si>
  <si>
    <t>Block*</t>
  </si>
  <si>
    <t>T/C*</t>
  </si>
  <si>
    <t>Being insurance for Apr 16 prepayment</t>
  </si>
  <si>
    <t>7010</t>
  </si>
  <si>
    <t>INSURANCE POLICIES</t>
  </si>
  <si>
    <t>Being Sage cover for Apr 16 prepayment</t>
  </si>
  <si>
    <t>Being office water rate for 16-17 fm prepay</t>
  </si>
  <si>
    <t>7001</t>
  </si>
  <si>
    <t>OFFICE WATER RATE</t>
  </si>
  <si>
    <t>6190</t>
  </si>
  <si>
    <t>BULK RUBBISH FEES</t>
  </si>
  <si>
    <t>Being bulk rubbish fees for Oct15-Mar 16</t>
  </si>
  <si>
    <t>Being electricity charges 1-42 accrual for Apr 16</t>
  </si>
  <si>
    <t>Being electricity charges 43-78  accrual for Apr 16</t>
  </si>
  <si>
    <t>Being office rent for Apr 16 accrued</t>
  </si>
  <si>
    <t>Being gardening cost for Apr 16 accrued</t>
  </si>
  <si>
    <t>Being electricity for 1-42 for Apr 16 accrued</t>
  </si>
  <si>
    <t>Being electricity for 43-78 for Apr 16 accrued</t>
  </si>
  <si>
    <t>Being insurance policy for May 16 prepayment</t>
  </si>
  <si>
    <t>Being Sage cover for May 16</t>
  </si>
  <si>
    <t>Being electricity charges for 1-42 accrued for May 16</t>
  </si>
  <si>
    <t>Being electricity charges for 43-78 accrued for May 16</t>
  </si>
  <si>
    <t>Being office rent for May 16 accrued</t>
  </si>
  <si>
    <t>Being share of 1/3 elec to estate for Apr &amp; May 16 1-42</t>
  </si>
  <si>
    <t>Being share of 1/3 elec to estate for Apr &amp; May 16 43-78</t>
  </si>
  <si>
    <t>Being insurance policy for June 16</t>
  </si>
  <si>
    <t>Being Sage cover for Jun 16</t>
  </si>
  <si>
    <t>Being audit fees under 15-16-2135-2000</t>
  </si>
  <si>
    <t>Being emergency patrol 15-16 under provn -3925.1-3900</t>
  </si>
  <si>
    <t>Being Sage cover for Jun 16 reversal</t>
  </si>
  <si>
    <t>Being garden maintenance for Jun 16 accrued</t>
  </si>
  <si>
    <t>Being office rent for Jun 16 accrued</t>
  </si>
  <si>
    <t>Being elec for 1-42 for Jun 16 accrued</t>
  </si>
  <si>
    <t>Being elec for 43-78  for Jun 16 accrued</t>
  </si>
  <si>
    <t>Being allocate 1/3 elec fo 1-42 for Jun 16</t>
  </si>
  <si>
    <t>Being allocate 1/3 elec fo 43-78  for Jun 16</t>
  </si>
  <si>
    <t>Being insurance policy for Jul 16</t>
  </si>
  <si>
    <t>Being Sage cover for Jul 16</t>
  </si>
  <si>
    <t>Being office rent for Jul 16 accrued</t>
  </si>
  <si>
    <t>Being elec for 1-42 for Jul 16 accrued</t>
  </si>
  <si>
    <t>Being elec for 43-78 for Jul 16 accrued</t>
  </si>
  <si>
    <t>Being garden maintenance for Jul 16 accrued</t>
  </si>
  <si>
    <t>Being allocate elec 1-42 to estate Jul 16</t>
  </si>
  <si>
    <t>Being allocate elec  43-78 to estate Jul 16</t>
  </si>
  <si>
    <t>Being elec 1-42 trx 149435 for May 16</t>
  </si>
  <si>
    <t>Being elec 43-78  trx 149436 for May 16</t>
  </si>
  <si>
    <t>Being garden maintenance for Aug 16 accrued</t>
  </si>
  <si>
    <t>Being office rent for  Aug 16 accrued</t>
  </si>
  <si>
    <t>Being elec for 1-42 for  Aug  16 accrued</t>
  </si>
  <si>
    <t>Being elec for 43-78  for  Aug  16 accrued</t>
  </si>
  <si>
    <t>Being 1/3 elec for 1-42,43-78 adjustment</t>
  </si>
  <si>
    <t>Being 1/3 elec for 43-78 adjustment</t>
  </si>
  <si>
    <t>Being 1/3 elec for 1-42 adjustment</t>
  </si>
  <si>
    <t>Being trx 15400 1-42 elec allocation Jun 16</t>
  </si>
  <si>
    <t>Being trx 15399 1-42 elec allocation Jun 16</t>
  </si>
  <si>
    <t>Being Sage cover for Aug 16</t>
  </si>
  <si>
    <t>Being insurance policy for Aug 16</t>
  </si>
  <si>
    <t>Office rent  Jul 15-Aug 16</t>
  </si>
  <si>
    <t>Garden Maintenance for  Jan &amp; May 16</t>
  </si>
  <si>
    <t>Sage Line cover for Oct 16</t>
  </si>
  <si>
    <t>Being insurance policy for Oct 16</t>
  </si>
  <si>
    <t>Communal electricity for Oct 16  Flat 1-42</t>
  </si>
  <si>
    <t>Communal electricity for Oct 16 Flat 43-78</t>
  </si>
  <si>
    <t>Garden maintenance contract for Oct 16</t>
  </si>
  <si>
    <t>Being office rent accrued for Oct 16</t>
  </si>
  <si>
    <t>Communal electricity for Nov 16  Flat 1-42</t>
  </si>
  <si>
    <t>Communal electricity for Nov 16  Flat 43-78</t>
  </si>
  <si>
    <t>Garden maintenance contract for Nov 16</t>
  </si>
  <si>
    <t>Being office rent accrued for Nov 16</t>
  </si>
  <si>
    <t>Being share of elec 1/3 fm block to estate Nov 16</t>
  </si>
  <si>
    <t>Being  share of elec fm block to estate 1/3  for Nov 16</t>
  </si>
  <si>
    <t>Being elec charges for block for Nov 16</t>
  </si>
  <si>
    <t>Being share of elec 1/3 fm block to estate Dec 16</t>
  </si>
  <si>
    <t>Being office rent accrued for Dec 16</t>
  </si>
  <si>
    <t>Garden maintenance contract for Dec 16</t>
  </si>
  <si>
    <t>Communal electricity for Dec  16  Flat 43-78</t>
  </si>
  <si>
    <t>Communal electricity for Dec 16  Flat 43-78</t>
  </si>
  <si>
    <t>Communal electricity for Dec  16  Flat 1-42</t>
  </si>
  <si>
    <t>Communal electricity for Dec 16  Flat 1-42</t>
  </si>
  <si>
    <t>Sage Line cover for Dec 16</t>
  </si>
  <si>
    <t>Being insurance policy for Dec 16</t>
  </si>
  <si>
    <t>Sage Line cover for Nov 16</t>
  </si>
  <si>
    <t>Being insurance policy for Nov 16</t>
  </si>
  <si>
    <t>Sage Line cover for Jan 17</t>
  </si>
  <si>
    <t>Being insurance policy for Jan 17</t>
  </si>
  <si>
    <t>Being share of elec 1/3 fm block to estate Jan 17</t>
  </si>
  <si>
    <t>Being office rent accrued for Jan 17</t>
  </si>
  <si>
    <t>Communal electricity for Jan 17  Flat 1-42</t>
  </si>
  <si>
    <t>Being trf fm 6160 to 5042 ,2108 for  garden maint</t>
  </si>
  <si>
    <t>GARDEN MAINTENANCE</t>
  </si>
  <si>
    <t>6160</t>
  </si>
  <si>
    <t>Being trf fm 6160 to 2109 for Nov16-Dec 16 garden maint</t>
  </si>
  <si>
    <t>Being trf fm 6160 to 5042 for -Jan 17 garden maint</t>
  </si>
  <si>
    <t>Budget 2017-18</t>
  </si>
  <si>
    <t>Office staff</t>
  </si>
  <si>
    <t>Staff cover - office</t>
  </si>
  <si>
    <t>Gardening Labour Cost - why is this separate from 6160?</t>
  </si>
  <si>
    <t>Contractor labour cost element - who is this?</t>
  </si>
  <si>
    <t>Staff national insurance - office</t>
  </si>
  <si>
    <t>Staff national insurance - caretaker</t>
  </si>
  <si>
    <t>Staff cover - caretaker</t>
  </si>
  <si>
    <t>Pensions contribution - office</t>
  </si>
  <si>
    <t>Pensions contribution - caretaker</t>
  </si>
  <si>
    <t>Finance management</t>
  </si>
  <si>
    <t>Tenant repairs -materials</t>
  </si>
  <si>
    <t>Tenant repairs - labour</t>
  </si>
  <si>
    <t>Management and service</t>
  </si>
  <si>
    <t>Summary</t>
  </si>
  <si>
    <t>Total Tenant only cost</t>
  </si>
  <si>
    <t xml:space="preserve">Staffing and Office contractors </t>
  </si>
  <si>
    <t xml:space="preserve">Management and service  </t>
  </si>
  <si>
    <t>Block/Estate Repairs and Maintenance</t>
  </si>
  <si>
    <t xml:space="preserve">Tenants only </t>
  </si>
  <si>
    <t>Staffing &amp; office contractors cost</t>
  </si>
  <si>
    <t>Block/Estate repairs and maintenance</t>
  </si>
  <si>
    <t xml:space="preserve">Summary </t>
  </si>
  <si>
    <t>Total Service cost
(R+M and Management)</t>
  </si>
  <si>
    <t>Block/estate repairs and maintenance</t>
  </si>
  <si>
    <t>Staffing and office contractors</t>
  </si>
  <si>
    <t>Tenants additional contribution to 
staffing costs (40% as agreed with WBC)</t>
  </si>
  <si>
    <t>Tenants addditional contribution to
managemenr and service costs (30% as agreed with WBC)</t>
  </si>
  <si>
    <t>Tenant contribution (50%)</t>
  </si>
  <si>
    <t>Leaseholder contribution (50%)</t>
  </si>
  <si>
    <t>Service chargeable costs for year</t>
  </si>
  <si>
    <t>Tenants pay additional costs to some services as they are used more by the tenants than laseholders, these are as follows:</t>
  </si>
  <si>
    <t>The remaining amounts are then split between the leaseholders and tenants with a 50/50 split as per the number of tenants and leaseholders</t>
  </si>
  <si>
    <t>Tenant only costs (not service chargeable at all)</t>
  </si>
  <si>
    <t>Predicted surplus (- deficit)</t>
  </si>
  <si>
    <t xml:space="preserve">Total </t>
  </si>
  <si>
    <t>Tenant income</t>
  </si>
  <si>
    <t>Tenant expenditure</t>
  </si>
  <si>
    <t>Leaseholder income</t>
  </si>
  <si>
    <t>Leaseholder expenditure</t>
  </si>
  <si>
    <t>Budget 2018-19</t>
  </si>
  <si>
    <t>Domain name, hosting, office 365</t>
  </si>
  <si>
    <t>It support, backup and security</t>
  </si>
  <si>
    <t xml:space="preserve">HR </t>
  </si>
  <si>
    <t>Consultancy</t>
  </si>
  <si>
    <t>Budget 18/19</t>
  </si>
  <si>
    <r>
      <t>Surplus (</t>
    </r>
    <r>
      <rPr>
        <b/>
        <i/>
        <sz val="12"/>
        <rFont val="Tahoma"/>
        <family val="2"/>
      </rPr>
      <t>-deficit</t>
    </r>
    <r>
      <rPr>
        <b/>
        <sz val="12"/>
        <rFont val="Tahoma"/>
        <family val="2"/>
      </rPr>
      <t>)</t>
    </r>
  </si>
  <si>
    <r>
      <t>Surplus (</t>
    </r>
    <r>
      <rPr>
        <b/>
        <i/>
        <sz val="12"/>
        <rFont val="Tahoma"/>
        <family val="2"/>
      </rPr>
      <t>-deficit)</t>
    </r>
  </si>
  <si>
    <t>7021/80</t>
  </si>
  <si>
    <t>REMARKS</t>
  </si>
  <si>
    <t>Major structural work for flat 78 payable by WBC</t>
  </si>
  <si>
    <t>Acc 400001 &amp; 400002 repayable</t>
  </si>
  <si>
    <t>Claim from Aviva</t>
  </si>
  <si>
    <t>Estate Services Allowance Tenants</t>
  </si>
  <si>
    <t>£4654.91 Service Charge 2017-18 Reimbursement</t>
  </si>
  <si>
    <t>Nominal Activities Attached Accrual not yet added</t>
  </si>
  <si>
    <t>Nominal Activities Attached</t>
  </si>
  <si>
    <t>78 MC Major Repair Invoiced to WBC</t>
  </si>
  <si>
    <t>Activities Attached-Including 369.90 To Jeff &amp; Accrual 3 Months</t>
  </si>
  <si>
    <t>Less Prepayment £675.36 for 2019-20</t>
  </si>
  <si>
    <t>Management Allowance</t>
  </si>
  <si>
    <t>Staff recruitment &amp; HR Costs</t>
  </si>
  <si>
    <t>Office security</t>
  </si>
  <si>
    <t>Staff &amp; Committee Training</t>
  </si>
  <si>
    <t>8050/6</t>
  </si>
  <si>
    <t>The remaining amounts are then split between the leaseholders and tenants with a 38/40 split as per the number of tenants and leaseholders</t>
  </si>
  <si>
    <t>Tenant contribution (48.72%)</t>
  </si>
  <si>
    <t>Leaseholder contribution (51.28%)</t>
  </si>
  <si>
    <t>Budget 2021-22</t>
  </si>
  <si>
    <t>Website Charges</t>
  </si>
  <si>
    <t>Subscription &amp;reg fees SAGE</t>
  </si>
  <si>
    <t>Software &amp; IT Charges</t>
  </si>
  <si>
    <t>Rechargeable Exp AS</t>
  </si>
  <si>
    <t>Rechargeable Repairs</t>
  </si>
  <si>
    <t>Office Rent &amp; Rates Rechargeable</t>
  </si>
  <si>
    <t>Void Property Cost</t>
  </si>
  <si>
    <t>Total Less Tenants Only</t>
  </si>
  <si>
    <t>Budget 2024-25</t>
  </si>
  <si>
    <t>Window Cleaning Contractors</t>
  </si>
  <si>
    <t>Office staff-(Treehouse -Ashleigh Rhuna)</t>
  </si>
  <si>
    <t>Management and service  (Treehouse)</t>
  </si>
  <si>
    <t>Staff cover-office (Treehouse - Ben)</t>
  </si>
  <si>
    <t>Corporation Tax</t>
  </si>
  <si>
    <t>Budget 25/26</t>
  </si>
  <si>
    <t>1.69% Increament as per Draft Offer</t>
  </si>
  <si>
    <t>EST Actual 2024-25</t>
  </si>
  <si>
    <t>Budget 2025-26</t>
  </si>
  <si>
    <t>Rent Account &amp; Admin Work</t>
  </si>
  <si>
    <t>Accounting &amp; Payroll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</si>
</sst>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8" formatCode="&quot;£&quot;#,##0.00;[Red]\-&quot;£&quot;#,##0.0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0.00_ ;[Red]\-0.00\ "/>
    <numFmt numFmtId="166" formatCode="_-&quot;£&quot;* #,##0.00_-;\-&quot;£&quot;* #,##0.00_-;_-&quot;£&quot;* &quot;-&quot;_-;_-@_-"/>
    <numFmt numFmtId="167" formatCode="0_ ;[Red]\-0\ "/>
    <numFmt numFmtId="168" formatCode="_-&quot;£&quot;* #,##0_-;\-&quot;£&quot;* #,##0_-;_-&quot;£&quot;* &quot;-&quot;??_-;_-@_-"/>
    <numFmt numFmtId="169" formatCode="_-* #,##0_-;\-* #,##0_-;_-* &quot;-&quot;??_-;_-@_-"/>
    <numFmt numFmtId="170" formatCode="[$-809]dd\ mmmm\ yyyy;@"/>
    <numFmt numFmtId="171" formatCode="0.0000"/>
    <numFmt numFmtId="172" formatCode="[$£-809]#,##0.00;[Red]\-[$£-809]#,##0.00"/>
    <numFmt numFmtId="173" formatCode="0.00000"/>
    <numFmt numFmtId="174" formatCode="#,##0.00_ ;[Red]\-#,##0.00\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0"/>
      <name val="Helv"/>
    </font>
    <font>
      <sz val="10"/>
      <color indexed="11"/>
      <name val="Arial"/>
      <family val="2"/>
    </font>
    <font>
      <b/>
      <u val="singleAccounting"/>
      <sz val="8"/>
      <name val="Arial"/>
      <family val="2"/>
    </font>
    <font>
      <b/>
      <u/>
      <sz val="8"/>
      <name val="Arial"/>
      <family val="2"/>
    </font>
    <font>
      <b/>
      <u val="singleAccounting"/>
      <sz val="9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0"/>
      <color indexed="11"/>
      <name val="Arial"/>
      <family val="2"/>
    </font>
    <font>
      <sz val="11"/>
      <color indexed="10"/>
      <name val="Calibri"/>
      <family val="2"/>
    </font>
    <font>
      <sz val="11"/>
      <color indexed="11"/>
      <name val="Calibri"/>
      <family val="2"/>
    </font>
    <font>
      <b/>
      <sz val="11"/>
      <color indexed="11"/>
      <name val="Calibri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i/>
      <sz val="12"/>
      <name val="Tahoma"/>
      <family val="2"/>
    </font>
    <font>
      <b/>
      <sz val="14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45">
    <xf numFmtId="170" fontId="0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4" fillId="0" borderId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21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9" fillId="0" borderId="0"/>
    <xf numFmtId="170" fontId="29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9" fillId="0" borderId="0"/>
    <xf numFmtId="170" fontId="29" fillId="0" borderId="0"/>
    <xf numFmtId="170" fontId="29" fillId="0" borderId="0"/>
    <xf numFmtId="170" fontId="29" fillId="0" borderId="0"/>
    <xf numFmtId="170" fontId="29" fillId="0" borderId="0"/>
    <xf numFmtId="170" fontId="29" fillId="0" borderId="0"/>
    <xf numFmtId="170" fontId="29" fillId="0" borderId="0"/>
    <xf numFmtId="170" fontId="29" fillId="0" borderId="0"/>
    <xf numFmtId="170" fontId="29" fillId="0" borderId="0"/>
    <xf numFmtId="170" fontId="29" fillId="0" borderId="0"/>
    <xf numFmtId="170" fontId="29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9" fillId="0" borderId="0"/>
    <xf numFmtId="170" fontId="29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5" fillId="0" borderId="0"/>
    <xf numFmtId="170" fontId="29" fillId="0" borderId="0"/>
    <xf numFmtId="170" fontId="29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3" fillId="0" borderId="0"/>
    <xf numFmtId="170" fontId="2" fillId="0" borderId="0"/>
    <xf numFmtId="17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</cellStyleXfs>
  <cellXfs count="747">
    <xf numFmtId="170" fontId="0" fillId="0" borderId="0" xfId="0"/>
    <xf numFmtId="165" fontId="4" fillId="0" borderId="0" xfId="0" applyNumberFormat="1" applyFont="1"/>
    <xf numFmtId="165" fontId="5" fillId="0" borderId="0" xfId="0" applyNumberFormat="1" applyFont="1"/>
    <xf numFmtId="44" fontId="5" fillId="0" borderId="0" xfId="0" applyNumberFormat="1" applyFont="1"/>
    <xf numFmtId="165" fontId="4" fillId="2" borderId="1" xfId="0" applyNumberFormat="1" applyFont="1" applyFill="1" applyBorder="1"/>
    <xf numFmtId="165" fontId="4" fillId="2" borderId="2" xfId="0" applyNumberFormat="1" applyFont="1" applyFill="1" applyBorder="1" applyAlignment="1">
      <alignment horizontal="center"/>
    </xf>
    <xf numFmtId="165" fontId="4" fillId="2" borderId="3" xfId="0" applyNumberFormat="1" applyFont="1" applyFill="1" applyBorder="1"/>
    <xf numFmtId="165" fontId="5" fillId="0" borderId="4" xfId="0" applyNumberFormat="1" applyFont="1" applyBorder="1"/>
    <xf numFmtId="165" fontId="5" fillId="0" borderId="5" xfId="0" applyNumberFormat="1" applyFont="1" applyBorder="1"/>
    <xf numFmtId="44" fontId="0" fillId="0" borderId="0" xfId="0" applyNumberFormat="1"/>
    <xf numFmtId="165" fontId="5" fillId="0" borderId="6" xfId="0" applyNumberFormat="1" applyFont="1" applyBorder="1"/>
    <xf numFmtId="165" fontId="4" fillId="3" borderId="1" xfId="0" applyNumberFormat="1" applyFont="1" applyFill="1" applyBorder="1"/>
    <xf numFmtId="165" fontId="4" fillId="3" borderId="1" xfId="0" applyNumberFormat="1" applyFont="1" applyFill="1" applyBorder="1" applyAlignment="1">
      <alignment horizontal="center"/>
    </xf>
    <xf numFmtId="165" fontId="5" fillId="0" borderId="7" xfId="0" applyNumberFormat="1" applyFont="1" applyBorder="1"/>
    <xf numFmtId="165" fontId="5" fillId="0" borderId="8" xfId="0" applyNumberFormat="1" applyFont="1" applyBorder="1"/>
    <xf numFmtId="165" fontId="4" fillId="4" borderId="1" xfId="0" applyNumberFormat="1" applyFont="1" applyFill="1" applyBorder="1"/>
    <xf numFmtId="170" fontId="4" fillId="0" borderId="0" xfId="0" applyFont="1"/>
    <xf numFmtId="170" fontId="9" fillId="0" borderId="0" xfId="0" applyFont="1"/>
    <xf numFmtId="170" fontId="5" fillId="0" borderId="0" xfId="0" applyFont="1"/>
    <xf numFmtId="44" fontId="5" fillId="0" borderId="0" xfId="4" applyFont="1" applyAlignment="1">
      <alignment horizontal="center"/>
    </xf>
    <xf numFmtId="2" fontId="0" fillId="0" borderId="0" xfId="0" applyNumberFormat="1"/>
    <xf numFmtId="170" fontId="5" fillId="0" borderId="0" xfId="0" applyFont="1" applyAlignment="1">
      <alignment horizontal="left"/>
    </xf>
    <xf numFmtId="170" fontId="5" fillId="0" borderId="0" xfId="0" applyFont="1" applyAlignment="1">
      <alignment horizontal="center"/>
    </xf>
    <xf numFmtId="170" fontId="9" fillId="0" borderId="0" xfId="0" applyFont="1" applyAlignment="1">
      <alignment horizontal="left"/>
    </xf>
    <xf numFmtId="44" fontId="3" fillId="0" borderId="0" xfId="4"/>
    <xf numFmtId="44" fontId="0" fillId="0" borderId="9" xfId="0" applyNumberFormat="1" applyBorder="1"/>
    <xf numFmtId="170" fontId="5" fillId="3" borderId="1" xfId="0" applyFont="1" applyFill="1" applyBorder="1" applyAlignment="1">
      <alignment horizontal="center"/>
    </xf>
    <xf numFmtId="170" fontId="5" fillId="0" borderId="5" xfId="0" applyFont="1" applyBorder="1" applyAlignment="1">
      <alignment horizontal="center"/>
    </xf>
    <xf numFmtId="170" fontId="4" fillId="3" borderId="1" xfId="0" applyFont="1" applyFill="1" applyBorder="1" applyAlignment="1">
      <alignment horizontal="center"/>
    </xf>
    <xf numFmtId="170" fontId="4" fillId="0" borderId="10" xfId="0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11" xfId="0" applyNumberFormat="1" applyFont="1" applyBorder="1"/>
    <xf numFmtId="165" fontId="5" fillId="0" borderId="12" xfId="0" applyNumberFormat="1" applyFont="1" applyBorder="1"/>
    <xf numFmtId="170" fontId="4" fillId="0" borderId="0" xfId="0" applyFont="1" applyAlignment="1">
      <alignment horizontal="center"/>
    </xf>
    <xf numFmtId="170" fontId="5" fillId="2" borderId="2" xfId="0" applyFont="1" applyFill="1" applyBorder="1" applyAlignment="1">
      <alignment horizontal="center"/>
    </xf>
    <xf numFmtId="170" fontId="5" fillId="0" borderId="6" xfId="0" applyFont="1" applyBorder="1" applyAlignment="1">
      <alignment horizontal="center"/>
    </xf>
    <xf numFmtId="170" fontId="5" fillId="0" borderId="7" xfId="0" applyFont="1" applyBorder="1" applyAlignment="1">
      <alignment horizontal="center"/>
    </xf>
    <xf numFmtId="170" fontId="5" fillId="0" borderId="8" xfId="0" applyFont="1" applyBorder="1" applyAlignment="1">
      <alignment horizontal="center"/>
    </xf>
    <xf numFmtId="170" fontId="4" fillId="3" borderId="13" xfId="0" applyFont="1" applyFill="1" applyBorder="1" applyAlignment="1">
      <alignment horizontal="center"/>
    </xf>
    <xf numFmtId="44" fontId="4" fillId="0" borderId="0" xfId="0" applyNumberFormat="1" applyFont="1" applyAlignment="1">
      <alignment horizontal="center"/>
    </xf>
    <xf numFmtId="166" fontId="5" fillId="0" borderId="0" xfId="0" applyNumberFormat="1" applyFont="1"/>
    <xf numFmtId="42" fontId="5" fillId="0" borderId="0" xfId="0" applyNumberFormat="1" applyFont="1"/>
    <xf numFmtId="165" fontId="4" fillId="5" borderId="1" xfId="0" applyNumberFormat="1" applyFont="1" applyFill="1" applyBorder="1" applyAlignment="1">
      <alignment horizontal="center" wrapText="1"/>
    </xf>
    <xf numFmtId="170" fontId="5" fillId="0" borderId="0" xfId="0" applyFont="1" applyAlignment="1">
      <alignment horizontal="center" wrapText="1"/>
    </xf>
    <xf numFmtId="165" fontId="5" fillId="0" borderId="14" xfId="0" applyNumberFormat="1" applyFont="1" applyBorder="1"/>
    <xf numFmtId="166" fontId="5" fillId="0" borderId="6" xfId="4" applyNumberFormat="1" applyFont="1" applyBorder="1"/>
    <xf numFmtId="9" fontId="5" fillId="0" borderId="5" xfId="122" applyFont="1" applyBorder="1" applyAlignment="1">
      <alignment horizontal="center"/>
    </xf>
    <xf numFmtId="166" fontId="5" fillId="0" borderId="5" xfId="4" applyNumberFormat="1" applyFont="1" applyBorder="1"/>
    <xf numFmtId="9" fontId="5" fillId="0" borderId="15" xfId="122" applyFont="1" applyBorder="1" applyAlignment="1">
      <alignment horizontal="center"/>
    </xf>
    <xf numFmtId="166" fontId="5" fillId="0" borderId="16" xfId="4" applyNumberFormat="1" applyFont="1" applyBorder="1"/>
    <xf numFmtId="165" fontId="4" fillId="5" borderId="1" xfId="0" applyNumberFormat="1" applyFont="1" applyFill="1" applyBorder="1"/>
    <xf numFmtId="42" fontId="5" fillId="0" borderId="0" xfId="0" applyNumberFormat="1" applyFont="1" applyAlignment="1">
      <alignment horizontal="center"/>
    </xf>
    <xf numFmtId="170" fontId="4" fillId="2" borderId="17" xfId="0" applyFont="1" applyFill="1" applyBorder="1"/>
    <xf numFmtId="170" fontId="5" fillId="2" borderId="18" xfId="0" applyFont="1" applyFill="1" applyBorder="1" applyAlignment="1">
      <alignment horizontal="center"/>
    </xf>
    <xf numFmtId="170" fontId="5" fillId="2" borderId="18" xfId="0" applyFont="1" applyFill="1" applyBorder="1"/>
    <xf numFmtId="170" fontId="4" fillId="2" borderId="18" xfId="0" applyFont="1" applyFill="1" applyBorder="1" applyAlignment="1">
      <alignment horizontal="center"/>
    </xf>
    <xf numFmtId="166" fontId="4" fillId="2" borderId="18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wrapText="1"/>
    </xf>
    <xf numFmtId="170" fontId="4" fillId="2" borderId="1" xfId="0" applyFont="1" applyFill="1" applyBorder="1" applyAlignment="1">
      <alignment horizontal="center" wrapText="1"/>
    </xf>
    <xf numFmtId="170" fontId="4" fillId="2" borderId="1" xfId="0" applyFont="1" applyFill="1" applyBorder="1" applyAlignment="1">
      <alignment horizontal="center"/>
    </xf>
    <xf numFmtId="166" fontId="4" fillId="2" borderId="1" xfId="4" applyNumberFormat="1" applyFont="1" applyFill="1" applyBorder="1"/>
    <xf numFmtId="42" fontId="4" fillId="6" borderId="17" xfId="0" applyNumberFormat="1" applyFont="1" applyFill="1" applyBorder="1"/>
    <xf numFmtId="42" fontId="5" fillId="6" borderId="18" xfId="0" applyNumberFormat="1" applyFont="1" applyFill="1" applyBorder="1"/>
    <xf numFmtId="42" fontId="4" fillId="6" borderId="18" xfId="0" applyNumberFormat="1" applyFont="1" applyFill="1" applyBorder="1" applyAlignment="1">
      <alignment horizontal="center"/>
    </xf>
    <xf numFmtId="170" fontId="5" fillId="6" borderId="18" xfId="0" applyFont="1" applyFill="1" applyBorder="1" applyAlignment="1">
      <alignment horizontal="center"/>
    </xf>
    <xf numFmtId="166" fontId="4" fillId="6" borderId="2" xfId="0" applyNumberFormat="1" applyFont="1" applyFill="1" applyBorder="1" applyAlignment="1">
      <alignment horizontal="center"/>
    </xf>
    <xf numFmtId="165" fontId="4" fillId="6" borderId="1" xfId="0" applyNumberFormat="1" applyFont="1" applyFill="1" applyBorder="1" applyAlignment="1">
      <alignment horizontal="center" wrapText="1"/>
    </xf>
    <xf numFmtId="170" fontId="4" fillId="6" borderId="1" xfId="0" applyFont="1" applyFill="1" applyBorder="1" applyAlignment="1">
      <alignment horizontal="center" wrapText="1"/>
    </xf>
    <xf numFmtId="165" fontId="4" fillId="6" borderId="1" xfId="0" applyNumberFormat="1" applyFont="1" applyFill="1" applyBorder="1"/>
    <xf numFmtId="170" fontId="4" fillId="6" borderId="1" xfId="0" applyFont="1" applyFill="1" applyBorder="1" applyAlignment="1">
      <alignment horizontal="center"/>
    </xf>
    <xf numFmtId="166" fontId="4" fillId="6" borderId="1" xfId="4" applyNumberFormat="1" applyFont="1" applyFill="1" applyBorder="1"/>
    <xf numFmtId="166" fontId="5" fillId="0" borderId="0" xfId="0" applyNumberFormat="1" applyFont="1" applyAlignment="1">
      <alignment horizontal="center"/>
    </xf>
    <xf numFmtId="165" fontId="4" fillId="5" borderId="17" xfId="0" applyNumberFormat="1" applyFont="1" applyFill="1" applyBorder="1" applyAlignment="1">
      <alignment horizontal="center" wrapText="1"/>
    </xf>
    <xf numFmtId="170" fontId="5" fillId="0" borderId="19" xfId="0" applyFont="1" applyBorder="1" applyAlignment="1">
      <alignment horizontal="center"/>
    </xf>
    <xf numFmtId="170" fontId="5" fillId="0" borderId="20" xfId="0" applyFont="1" applyBorder="1" applyAlignment="1">
      <alignment horizontal="center"/>
    </xf>
    <xf numFmtId="170" fontId="4" fillId="5" borderId="17" xfId="0" applyFont="1" applyFill="1" applyBorder="1" applyAlignment="1">
      <alignment horizontal="center"/>
    </xf>
    <xf numFmtId="170" fontId="0" fillId="0" borderId="0" xfId="0" applyAlignment="1">
      <alignment horizontal="center"/>
    </xf>
    <xf numFmtId="166" fontId="5" fillId="2" borderId="2" xfId="0" applyNumberFormat="1" applyFont="1" applyFill="1" applyBorder="1"/>
    <xf numFmtId="44" fontId="5" fillId="0" borderId="5" xfId="0" applyNumberFormat="1" applyFont="1" applyBorder="1"/>
    <xf numFmtId="165" fontId="5" fillId="0" borderId="21" xfId="0" applyNumberFormat="1" applyFont="1" applyBorder="1"/>
    <xf numFmtId="170" fontId="5" fillId="0" borderId="22" xfId="0" applyFont="1" applyBorder="1" applyAlignment="1">
      <alignment horizontal="center"/>
    </xf>
    <xf numFmtId="170" fontId="3" fillId="0" borderId="0" xfId="4" applyNumberFormat="1" applyAlignment="1">
      <alignment horizontal="center"/>
    </xf>
    <xf numFmtId="165" fontId="5" fillId="0" borderId="23" xfId="0" applyNumberFormat="1" applyFont="1" applyBorder="1"/>
    <xf numFmtId="170" fontId="4" fillId="7" borderId="17" xfId="0" applyFont="1" applyFill="1" applyBorder="1"/>
    <xf numFmtId="170" fontId="4" fillId="7" borderId="18" xfId="0" applyFont="1" applyFill="1" applyBorder="1" applyAlignment="1">
      <alignment horizontal="center"/>
    </xf>
    <xf numFmtId="170" fontId="5" fillId="7" borderId="18" xfId="0" applyFont="1" applyFill="1" applyBorder="1"/>
    <xf numFmtId="170" fontId="4" fillId="7" borderId="2" xfId="0" applyFont="1" applyFill="1" applyBorder="1" applyAlignment="1">
      <alignment horizontal="center"/>
    </xf>
    <xf numFmtId="165" fontId="4" fillId="7" borderId="1" xfId="0" applyNumberFormat="1" applyFont="1" applyFill="1" applyBorder="1" applyAlignment="1">
      <alignment horizontal="center" wrapText="1"/>
    </xf>
    <xf numFmtId="170" fontId="4" fillId="7" borderId="1" xfId="0" applyFont="1" applyFill="1" applyBorder="1" applyAlignment="1">
      <alignment horizontal="center" wrapText="1"/>
    </xf>
    <xf numFmtId="165" fontId="4" fillId="7" borderId="1" xfId="0" applyNumberFormat="1" applyFont="1" applyFill="1" applyBorder="1"/>
    <xf numFmtId="170" fontId="4" fillId="7" borderId="1" xfId="0" applyFont="1" applyFill="1" applyBorder="1" applyAlignment="1">
      <alignment horizontal="center"/>
    </xf>
    <xf numFmtId="166" fontId="4" fillId="7" borderId="1" xfId="4" applyNumberFormat="1" applyFont="1" applyFill="1" applyBorder="1"/>
    <xf numFmtId="9" fontId="4" fillId="7" borderId="1" xfId="122" applyFont="1" applyFill="1" applyBorder="1"/>
    <xf numFmtId="44" fontId="5" fillId="0" borderId="15" xfId="4" applyFont="1" applyBorder="1" applyAlignment="1">
      <alignment horizontal="center"/>
    </xf>
    <xf numFmtId="170" fontId="11" fillId="7" borderId="1" xfId="0" applyFont="1" applyFill="1" applyBorder="1" applyAlignment="1">
      <alignment horizontal="center" wrapText="1"/>
    </xf>
    <xf numFmtId="44" fontId="5" fillId="0" borderId="5" xfId="4" applyFont="1" applyBorder="1"/>
    <xf numFmtId="44" fontId="4" fillId="3" borderId="1" xfId="4" applyFont="1" applyFill="1" applyBorder="1" applyAlignment="1">
      <alignment wrapText="1"/>
    </xf>
    <xf numFmtId="44" fontId="4" fillId="3" borderId="24" xfId="4" applyFont="1" applyFill="1" applyBorder="1" applyAlignment="1">
      <alignment wrapText="1"/>
    </xf>
    <xf numFmtId="44" fontId="4" fillId="3" borderId="1" xfId="4" applyFont="1" applyFill="1" applyBorder="1" applyAlignment="1">
      <alignment horizontal="right" wrapText="1"/>
    </xf>
    <xf numFmtId="44" fontId="5" fillId="0" borderId="5" xfId="4" applyFont="1" applyBorder="1" applyAlignment="1">
      <alignment wrapText="1"/>
    </xf>
    <xf numFmtId="44" fontId="4" fillId="4" borderId="1" xfId="4" applyFont="1" applyFill="1" applyBorder="1" applyAlignment="1">
      <alignment wrapText="1"/>
    </xf>
    <xf numFmtId="44" fontId="4" fillId="0" borderId="14" xfId="4" applyFont="1" applyBorder="1" applyAlignment="1">
      <alignment wrapText="1"/>
    </xf>
    <xf numFmtId="44" fontId="4" fillId="0" borderId="1" xfId="4" applyFont="1" applyBorder="1" applyAlignment="1">
      <alignment wrapText="1"/>
    </xf>
    <xf numFmtId="44" fontId="5" fillId="0" borderId="0" xfId="4" applyFont="1" applyAlignment="1">
      <alignment wrapText="1"/>
    </xf>
    <xf numFmtId="44" fontId="4" fillId="0" borderId="14" xfId="4" applyFont="1" applyBorder="1" applyAlignment="1">
      <alignment horizontal="center" wrapText="1"/>
    </xf>
    <xf numFmtId="44" fontId="4" fillId="5" borderId="1" xfId="4" applyFont="1" applyFill="1" applyBorder="1" applyAlignment="1">
      <alignment horizontal="center" wrapText="1"/>
    </xf>
    <xf numFmtId="44" fontId="5" fillId="0" borderId="25" xfId="4" applyFont="1" applyBorder="1" applyAlignment="1">
      <alignment wrapText="1"/>
    </xf>
    <xf numFmtId="44" fontId="5" fillId="0" borderId="6" xfId="4" applyFont="1" applyBorder="1" applyAlignment="1">
      <alignment wrapText="1"/>
    </xf>
    <xf numFmtId="44" fontId="4" fillId="0" borderId="0" xfId="4" applyFont="1" applyAlignment="1">
      <alignment horizontal="center" wrapText="1"/>
    </xf>
    <xf numFmtId="44" fontId="4" fillId="3" borderId="1" xfId="4" applyFont="1" applyFill="1" applyBorder="1" applyAlignment="1">
      <alignment horizontal="center" wrapText="1"/>
    </xf>
    <xf numFmtId="44" fontId="4" fillId="3" borderId="26" xfId="4" applyFont="1" applyFill="1" applyBorder="1" applyAlignment="1">
      <alignment wrapText="1"/>
    </xf>
    <xf numFmtId="44" fontId="4" fillId="4" borderId="1" xfId="4" applyFont="1" applyFill="1" applyBorder="1" applyAlignment="1">
      <alignment horizontal="center" wrapText="1"/>
    </xf>
    <xf numFmtId="44" fontId="4" fillId="0" borderId="0" xfId="4" applyFont="1" applyAlignment="1">
      <alignment wrapText="1"/>
    </xf>
    <xf numFmtId="170" fontId="9" fillId="0" borderId="0" xfId="0" applyFont="1" applyAlignment="1">
      <alignment horizontal="center"/>
    </xf>
    <xf numFmtId="44" fontId="4" fillId="3" borderId="1" xfId="4" applyFont="1" applyFill="1" applyBorder="1" applyAlignment="1">
      <alignment horizontal="center"/>
    </xf>
    <xf numFmtId="44" fontId="4" fillId="2" borderId="1" xfId="4" applyFont="1" applyFill="1" applyBorder="1" applyAlignment="1">
      <alignment horizontal="center" wrapText="1"/>
    </xf>
    <xf numFmtId="44" fontId="4" fillId="2" borderId="1" xfId="4" applyFont="1" applyFill="1" applyBorder="1" applyAlignment="1">
      <alignment horizontal="center"/>
    </xf>
    <xf numFmtId="44" fontId="5" fillId="2" borderId="1" xfId="4" applyFont="1" applyFill="1" applyBorder="1"/>
    <xf numFmtId="44" fontId="3" fillId="0" borderId="25" xfId="4" applyBorder="1"/>
    <xf numFmtId="44" fontId="4" fillId="3" borderId="1" xfId="4" applyFont="1" applyFill="1" applyBorder="1"/>
    <xf numFmtId="44" fontId="4" fillId="5" borderId="1" xfId="4" applyFont="1" applyFill="1" applyBorder="1" applyAlignment="1">
      <alignment horizontal="center"/>
    </xf>
    <xf numFmtId="44" fontId="5" fillId="0" borderId="25" xfId="4" applyFont="1" applyBorder="1"/>
    <xf numFmtId="44" fontId="4" fillId="5" borderId="1" xfId="4" applyFont="1" applyFill="1" applyBorder="1"/>
    <xf numFmtId="165" fontId="11" fillId="3" borderId="1" xfId="0" applyNumberFormat="1" applyFont="1" applyFill="1" applyBorder="1"/>
    <xf numFmtId="44" fontId="4" fillId="3" borderId="2" xfId="4" applyFont="1" applyFill="1" applyBorder="1" applyAlignment="1">
      <alignment horizontal="center"/>
    </xf>
    <xf numFmtId="44" fontId="5" fillId="0" borderId="27" xfId="4" applyFont="1" applyBorder="1"/>
    <xf numFmtId="44" fontId="12" fillId="0" borderId="28" xfId="4" applyFont="1" applyBorder="1"/>
    <xf numFmtId="44" fontId="5" fillId="0" borderId="6" xfId="4" applyFont="1" applyBorder="1"/>
    <xf numFmtId="44" fontId="4" fillId="3" borderId="1" xfId="0" applyNumberFormat="1" applyFont="1" applyFill="1" applyBorder="1"/>
    <xf numFmtId="44" fontId="0" fillId="0" borderId="25" xfId="0" applyNumberFormat="1" applyBorder="1"/>
    <xf numFmtId="44" fontId="0" fillId="0" borderId="5" xfId="0" applyNumberFormat="1" applyBorder="1"/>
    <xf numFmtId="44" fontId="0" fillId="0" borderId="6" xfId="0" applyNumberFormat="1" applyBorder="1"/>
    <xf numFmtId="44" fontId="4" fillId="0" borderId="5" xfId="4" applyFont="1" applyBorder="1" applyAlignment="1">
      <alignment wrapText="1"/>
    </xf>
    <xf numFmtId="170" fontId="5" fillId="0" borderId="27" xfId="0" applyFont="1" applyBorder="1" applyAlignment="1">
      <alignment horizontal="center"/>
    </xf>
    <xf numFmtId="44" fontId="4" fillId="4" borderId="10" xfId="4" applyFont="1" applyFill="1" applyBorder="1" applyAlignment="1">
      <alignment wrapText="1"/>
    </xf>
    <xf numFmtId="164" fontId="0" fillId="0" borderId="0" xfId="0" applyNumberFormat="1"/>
    <xf numFmtId="170" fontId="11" fillId="2" borderId="1" xfId="0" applyFont="1" applyFill="1" applyBorder="1" applyAlignment="1">
      <alignment horizontal="center" wrapText="1"/>
    </xf>
    <xf numFmtId="166" fontId="5" fillId="0" borderId="8" xfId="4" applyNumberFormat="1" applyFont="1" applyBorder="1"/>
    <xf numFmtId="166" fontId="5" fillId="0" borderId="25" xfId="4" applyNumberFormat="1" applyFont="1" applyBorder="1"/>
    <xf numFmtId="49" fontId="4" fillId="6" borderId="18" xfId="0" applyNumberFormat="1" applyFont="1" applyFill="1" applyBorder="1" applyAlignment="1">
      <alignment horizontal="center"/>
    </xf>
    <xf numFmtId="170" fontId="15" fillId="0" borderId="0" xfId="0" applyFont="1"/>
    <xf numFmtId="44" fontId="10" fillId="0" borderId="0" xfId="4" applyFont="1" applyAlignment="1">
      <alignment horizontal="left"/>
    </xf>
    <xf numFmtId="44" fontId="10" fillId="4" borderId="5" xfId="4" applyFont="1" applyFill="1" applyBorder="1" applyAlignment="1">
      <alignment horizontal="center"/>
    </xf>
    <xf numFmtId="44" fontId="10" fillId="8" borderId="5" xfId="4" applyFont="1" applyFill="1" applyBorder="1" applyAlignment="1">
      <alignment horizontal="center"/>
    </xf>
    <xf numFmtId="44" fontId="10" fillId="7" borderId="5" xfId="4" applyFont="1" applyFill="1" applyBorder="1" applyAlignment="1">
      <alignment horizontal="center"/>
    </xf>
    <xf numFmtId="44" fontId="10" fillId="0" borderId="0" xfId="4" applyFont="1" applyAlignment="1">
      <alignment horizontal="center"/>
    </xf>
    <xf numFmtId="44" fontId="10" fillId="2" borderId="5" xfId="4" applyFont="1" applyFill="1" applyBorder="1" applyAlignment="1">
      <alignment horizontal="left"/>
    </xf>
    <xf numFmtId="44" fontId="10" fillId="3" borderId="5" xfId="4" applyFont="1" applyFill="1" applyBorder="1" applyAlignment="1">
      <alignment horizontal="center"/>
    </xf>
    <xf numFmtId="44" fontId="5" fillId="0" borderId="0" xfId="4" applyFont="1"/>
    <xf numFmtId="44" fontId="16" fillId="0" borderId="0" xfId="4" applyFont="1" applyAlignment="1">
      <alignment horizontal="left"/>
    </xf>
    <xf numFmtId="44" fontId="17" fillId="0" borderId="0" xfId="4" applyFont="1" applyAlignment="1">
      <alignment horizontal="center"/>
    </xf>
    <xf numFmtId="170" fontId="10" fillId="2" borderId="5" xfId="0" applyFont="1" applyFill="1" applyBorder="1" applyAlignment="1">
      <alignment horizontal="left"/>
    </xf>
    <xf numFmtId="170" fontId="17" fillId="0" borderId="0" xfId="0" applyFont="1" applyAlignment="1">
      <alignment horizontal="left"/>
    </xf>
    <xf numFmtId="44" fontId="10" fillId="0" borderId="29" xfId="4" applyFont="1" applyBorder="1" applyAlignment="1">
      <alignment horizontal="left"/>
    </xf>
    <xf numFmtId="44" fontId="10" fillId="0" borderId="29" xfId="4" applyFont="1" applyBorder="1" applyAlignment="1">
      <alignment horizontal="center"/>
    </xf>
    <xf numFmtId="44" fontId="4" fillId="0" borderId="0" xfId="4" applyFont="1"/>
    <xf numFmtId="170" fontId="10" fillId="0" borderId="0" xfId="0" applyFont="1"/>
    <xf numFmtId="170" fontId="17" fillId="0" borderId="5" xfId="0" applyFont="1" applyBorder="1" applyAlignment="1">
      <alignment horizontal="center"/>
    </xf>
    <xf numFmtId="170" fontId="17" fillId="0" borderId="0" xfId="0" applyFont="1" applyAlignment="1">
      <alignment horizontal="center"/>
    </xf>
    <xf numFmtId="170" fontId="17" fillId="0" borderId="20" xfId="0" applyFont="1" applyBorder="1"/>
    <xf numFmtId="44" fontId="10" fillId="8" borderId="30" xfId="4" applyFont="1" applyFill="1" applyBorder="1" applyAlignment="1">
      <alignment horizontal="center"/>
    </xf>
    <xf numFmtId="44" fontId="17" fillId="0" borderId="0" xfId="4" applyFont="1"/>
    <xf numFmtId="170" fontId="17" fillId="0" borderId="0" xfId="0" applyFont="1"/>
    <xf numFmtId="44" fontId="8" fillId="0" borderId="0" xfId="4" applyFont="1"/>
    <xf numFmtId="44" fontId="8" fillId="0" borderId="0" xfId="4" applyFont="1" applyAlignment="1">
      <alignment horizontal="center"/>
    </xf>
    <xf numFmtId="44" fontId="8" fillId="0" borderId="9" xfId="4" applyFont="1" applyBorder="1" applyAlignment="1">
      <alignment horizontal="center"/>
    </xf>
    <xf numFmtId="17" fontId="13" fillId="0" borderId="0" xfId="4" applyNumberFormat="1" applyFont="1" applyAlignment="1">
      <alignment horizontal="center"/>
    </xf>
    <xf numFmtId="44" fontId="18" fillId="0" borderId="0" xfId="4" applyFont="1" applyAlignment="1">
      <alignment horizontal="center"/>
    </xf>
    <xf numFmtId="170" fontId="12" fillId="0" borderId="0" xfId="0" applyFont="1"/>
    <xf numFmtId="170" fontId="5" fillId="0" borderId="0" xfId="4" applyNumberFormat="1" applyFont="1" applyAlignment="1">
      <alignment horizontal="center"/>
    </xf>
    <xf numFmtId="44" fontId="3" fillId="0" borderId="0" xfId="4" applyAlignment="1">
      <alignment horizontal="center"/>
    </xf>
    <xf numFmtId="44" fontId="12" fillId="0" borderId="0" xfId="4" applyFont="1" applyAlignment="1">
      <alignment horizontal="center"/>
    </xf>
    <xf numFmtId="14" fontId="12" fillId="0" borderId="0" xfId="4" applyNumberFormat="1" applyFont="1" applyAlignment="1">
      <alignment horizontal="center"/>
    </xf>
    <xf numFmtId="14" fontId="12" fillId="0" borderId="0" xfId="0" applyNumberFormat="1" applyFont="1" applyAlignment="1">
      <alignment horizontal="center"/>
    </xf>
    <xf numFmtId="44" fontId="12" fillId="0" borderId="0" xfId="0" applyNumberFormat="1" applyFont="1"/>
    <xf numFmtId="44" fontId="12" fillId="0" borderId="0" xfId="4" applyFont="1"/>
    <xf numFmtId="44" fontId="12" fillId="0" borderId="28" xfId="4" applyFont="1" applyBorder="1" applyAlignment="1">
      <alignment horizontal="center"/>
    </xf>
    <xf numFmtId="14" fontId="12" fillId="0" borderId="28" xfId="4" applyNumberFormat="1" applyFont="1" applyBorder="1" applyAlignment="1">
      <alignment horizontal="center"/>
    </xf>
    <xf numFmtId="44" fontId="12" fillId="0" borderId="9" xfId="0" applyNumberFormat="1" applyFont="1" applyBorder="1"/>
    <xf numFmtId="14" fontId="12" fillId="0" borderId="0" xfId="0" applyNumberFormat="1" applyFont="1"/>
    <xf numFmtId="43" fontId="0" fillId="0" borderId="0" xfId="0" applyNumberFormat="1"/>
    <xf numFmtId="165" fontId="4" fillId="3" borderId="2" xfId="0" applyNumberFormat="1" applyFont="1" applyFill="1" applyBorder="1" applyAlignment="1">
      <alignment horizontal="center"/>
    </xf>
    <xf numFmtId="170" fontId="5" fillId="0" borderId="31" xfId="0" applyFont="1" applyBorder="1" applyAlignment="1">
      <alignment horizontal="center"/>
    </xf>
    <xf numFmtId="165" fontId="5" fillId="0" borderId="32" xfId="0" applyNumberFormat="1" applyFont="1" applyBorder="1"/>
    <xf numFmtId="165" fontId="5" fillId="0" borderId="16" xfId="0" applyNumberFormat="1" applyFont="1" applyBorder="1"/>
    <xf numFmtId="165" fontId="5" fillId="0" borderId="33" xfId="0" applyNumberFormat="1" applyFont="1" applyBorder="1"/>
    <xf numFmtId="44" fontId="5" fillId="0" borderId="9" xfId="0" applyNumberFormat="1" applyFont="1" applyBorder="1"/>
    <xf numFmtId="44" fontId="20" fillId="0" borderId="0" xfId="4" applyFont="1"/>
    <xf numFmtId="170" fontId="20" fillId="0" borderId="0" xfId="0" applyFont="1"/>
    <xf numFmtId="170" fontId="20" fillId="0" borderId="0" xfId="0" applyFont="1" applyAlignment="1">
      <alignment horizontal="center"/>
    </xf>
    <xf numFmtId="44" fontId="20" fillId="0" borderId="0" xfId="0" applyNumberFormat="1" applyFont="1"/>
    <xf numFmtId="170" fontId="20" fillId="0" borderId="0" xfId="0" applyFont="1" applyAlignment="1">
      <alignment horizontal="center" wrapText="1"/>
    </xf>
    <xf numFmtId="44" fontId="20" fillId="0" borderId="0" xfId="4" applyFont="1" applyAlignment="1">
      <alignment horizontal="center"/>
    </xf>
    <xf numFmtId="44" fontId="20" fillId="0" borderId="0" xfId="0" applyNumberFormat="1" applyFont="1" applyAlignment="1">
      <alignment horizontal="center"/>
    </xf>
    <xf numFmtId="43" fontId="12" fillId="0" borderId="0" xfId="1" applyFont="1"/>
    <xf numFmtId="170" fontId="8" fillId="0" borderId="0" xfId="0" applyFont="1"/>
    <xf numFmtId="44" fontId="10" fillId="4" borderId="5" xfId="4" applyFont="1" applyFill="1" applyBorder="1" applyAlignment="1">
      <alignment horizontal="center" wrapText="1"/>
    </xf>
    <xf numFmtId="44" fontId="10" fillId="9" borderId="5" xfId="4" applyFont="1" applyFill="1" applyBorder="1" applyAlignment="1">
      <alignment horizontal="center" wrapText="1"/>
    </xf>
    <xf numFmtId="44" fontId="10" fillId="7" borderId="5" xfId="4" applyFont="1" applyFill="1" applyBorder="1" applyAlignment="1">
      <alignment horizontal="center" wrapText="1"/>
    </xf>
    <xf numFmtId="44" fontId="15" fillId="0" borderId="0" xfId="0" applyNumberFormat="1" applyFont="1"/>
    <xf numFmtId="170" fontId="22" fillId="0" borderId="0" xfId="0" applyFont="1"/>
    <xf numFmtId="44" fontId="4" fillId="0" borderId="1" xfId="0" applyNumberFormat="1" applyFont="1" applyBorder="1" applyAlignment="1">
      <alignment horizontal="center"/>
    </xf>
    <xf numFmtId="170" fontId="23" fillId="0" borderId="0" xfId="0" applyFont="1"/>
    <xf numFmtId="170" fontId="24" fillId="10" borderId="0" xfId="0" applyFont="1" applyFill="1"/>
    <xf numFmtId="170" fontId="24" fillId="0" borderId="0" xfId="0" applyFont="1"/>
    <xf numFmtId="44" fontId="24" fillId="0" borderId="0" xfId="0" applyNumberFormat="1" applyFont="1"/>
    <xf numFmtId="44" fontId="25" fillId="8" borderId="0" xfId="0" applyNumberFormat="1" applyFont="1" applyFill="1"/>
    <xf numFmtId="44" fontId="25" fillId="0" borderId="0" xfId="0" applyNumberFormat="1" applyFont="1"/>
    <xf numFmtId="167" fontId="5" fillId="0" borderId="5" xfId="0" applyNumberFormat="1" applyFont="1" applyBorder="1" applyAlignment="1">
      <alignment horizontal="center"/>
    </xf>
    <xf numFmtId="165" fontId="19" fillId="0" borderId="0" xfId="0" applyNumberFormat="1" applyFont="1"/>
    <xf numFmtId="165" fontId="20" fillId="0" borderId="0" xfId="0" applyNumberFormat="1" applyFont="1" applyAlignment="1">
      <alignment horizontal="center"/>
    </xf>
    <xf numFmtId="49" fontId="19" fillId="0" borderId="1" xfId="4" applyNumberFormat="1" applyFont="1" applyBorder="1" applyAlignment="1">
      <alignment horizontal="center"/>
    </xf>
    <xf numFmtId="165" fontId="20" fillId="0" borderId="0" xfId="0" applyNumberFormat="1" applyFont="1"/>
    <xf numFmtId="44" fontId="19" fillId="0" borderId="0" xfId="4" applyFont="1" applyAlignment="1">
      <alignment horizontal="center"/>
    </xf>
    <xf numFmtId="165" fontId="19" fillId="2" borderId="1" xfId="0" applyNumberFormat="1" applyFont="1" applyFill="1" applyBorder="1"/>
    <xf numFmtId="165" fontId="19" fillId="2" borderId="2" xfId="0" applyNumberFormat="1" applyFont="1" applyFill="1" applyBorder="1" applyAlignment="1">
      <alignment horizontal="center"/>
    </xf>
    <xf numFmtId="44" fontId="19" fillId="2" borderId="1" xfId="4" applyFont="1" applyFill="1" applyBorder="1" applyAlignment="1">
      <alignment horizontal="center"/>
    </xf>
    <xf numFmtId="44" fontId="19" fillId="2" borderId="1" xfId="4" applyFont="1" applyFill="1" applyBorder="1"/>
    <xf numFmtId="44" fontId="19" fillId="2" borderId="1" xfId="4" applyFont="1" applyFill="1" applyBorder="1" applyAlignment="1">
      <alignment horizontal="center" wrapText="1"/>
    </xf>
    <xf numFmtId="44" fontId="19" fillId="2" borderId="34" xfId="0" applyNumberFormat="1" applyFont="1" applyFill="1" applyBorder="1" applyAlignment="1">
      <alignment horizontal="center" wrapText="1"/>
    </xf>
    <xf numFmtId="165" fontId="19" fillId="2" borderId="3" xfId="0" applyNumberFormat="1" applyFont="1" applyFill="1" applyBorder="1"/>
    <xf numFmtId="170" fontId="20" fillId="2" borderId="2" xfId="0" applyFont="1" applyFill="1" applyBorder="1" applyAlignment="1">
      <alignment horizontal="center"/>
    </xf>
    <xf numFmtId="44" fontId="20" fillId="2" borderId="1" xfId="4" applyFont="1" applyFill="1" applyBorder="1"/>
    <xf numFmtId="44" fontId="20" fillId="2" borderId="1" xfId="0" applyNumberFormat="1" applyFont="1" applyFill="1" applyBorder="1"/>
    <xf numFmtId="43" fontId="20" fillId="0" borderId="0" xfId="1" applyFont="1"/>
    <xf numFmtId="170" fontId="20" fillId="2" borderId="35" xfId="0" applyFont="1" applyFill="1" applyBorder="1" applyAlignment="1">
      <alignment horizontal="center"/>
    </xf>
    <xf numFmtId="165" fontId="20" fillId="0" borderId="4" xfId="0" applyNumberFormat="1" applyFont="1" applyBorder="1"/>
    <xf numFmtId="170" fontId="20" fillId="0" borderId="0" xfId="4" applyNumberFormat="1" applyFont="1" applyAlignment="1">
      <alignment horizontal="center"/>
    </xf>
    <xf numFmtId="44" fontId="20" fillId="0" borderId="25" xfId="4" applyFont="1" applyBorder="1"/>
    <xf numFmtId="44" fontId="20" fillId="0" borderId="25" xfId="4" applyFont="1" applyBorder="1" applyAlignment="1">
      <alignment horizontal="center"/>
    </xf>
    <xf numFmtId="44" fontId="20" fillId="0" borderId="25" xfId="0" applyNumberFormat="1" applyFont="1" applyBorder="1"/>
    <xf numFmtId="43" fontId="20" fillId="0" borderId="0" xfId="0" applyNumberFormat="1" applyFont="1"/>
    <xf numFmtId="170" fontId="20" fillId="0" borderId="5" xfId="4" applyNumberFormat="1" applyFont="1" applyBorder="1" applyAlignment="1">
      <alignment horizontal="center"/>
    </xf>
    <xf numFmtId="44" fontId="20" fillId="0" borderId="5" xfId="4" applyFont="1" applyBorder="1"/>
    <xf numFmtId="44" fontId="20" fillId="0" borderId="5" xfId="0" applyNumberFormat="1" applyFont="1" applyBorder="1"/>
    <xf numFmtId="165" fontId="20" fillId="0" borderId="5" xfId="0" applyNumberFormat="1" applyFont="1" applyBorder="1"/>
    <xf numFmtId="170" fontId="20" fillId="0" borderId="5" xfId="0" applyFont="1" applyBorder="1" applyAlignment="1">
      <alignment horizontal="center"/>
    </xf>
    <xf numFmtId="165" fontId="20" fillId="0" borderId="6" xfId="0" applyNumberFormat="1" applyFont="1" applyBorder="1"/>
    <xf numFmtId="170" fontId="20" fillId="0" borderId="6" xfId="0" applyFont="1" applyBorder="1" applyAlignment="1">
      <alignment horizontal="center"/>
    </xf>
    <xf numFmtId="44" fontId="20" fillId="0" borderId="6" xfId="0" applyNumberFormat="1" applyFont="1" applyBorder="1"/>
    <xf numFmtId="170" fontId="19" fillId="3" borderId="1" xfId="0" applyFont="1" applyFill="1" applyBorder="1" applyAlignment="1">
      <alignment horizontal="center"/>
    </xf>
    <xf numFmtId="44" fontId="19" fillId="3" borderId="1" xfId="4" applyFont="1" applyFill="1" applyBorder="1" applyAlignment="1">
      <alignment horizontal="center"/>
    </xf>
    <xf numFmtId="44" fontId="19" fillId="3" borderId="1" xfId="0" applyNumberFormat="1" applyFont="1" applyFill="1" applyBorder="1"/>
    <xf numFmtId="170" fontId="19" fillId="3" borderId="3" xfId="0" applyFont="1" applyFill="1" applyBorder="1" applyAlignment="1">
      <alignment horizontal="center"/>
    </xf>
    <xf numFmtId="44" fontId="20" fillId="0" borderId="1" xfId="4" applyFont="1" applyBorder="1"/>
    <xf numFmtId="44" fontId="20" fillId="0" borderId="2" xfId="0" applyNumberFormat="1" applyFont="1" applyBorder="1"/>
    <xf numFmtId="165" fontId="19" fillId="5" borderId="1" xfId="0" applyNumberFormat="1" applyFont="1" applyFill="1" applyBorder="1" applyAlignment="1">
      <alignment horizontal="center" wrapText="1"/>
    </xf>
    <xf numFmtId="165" fontId="19" fillId="5" borderId="17" xfId="0" applyNumberFormat="1" applyFont="1" applyFill="1" applyBorder="1" applyAlignment="1">
      <alignment horizontal="center" wrapText="1"/>
    </xf>
    <xf numFmtId="44" fontId="19" fillId="5" borderId="1" xfId="4" applyFont="1" applyFill="1" applyBorder="1" applyAlignment="1">
      <alignment horizontal="center"/>
    </xf>
    <xf numFmtId="44" fontId="19" fillId="5" borderId="1" xfId="0" applyNumberFormat="1" applyFont="1" applyFill="1" applyBorder="1" applyAlignment="1">
      <alignment horizontal="center" wrapText="1"/>
    </xf>
    <xf numFmtId="165" fontId="19" fillId="5" borderId="36" xfId="0" applyNumberFormat="1" applyFont="1" applyFill="1" applyBorder="1" applyAlignment="1">
      <alignment horizontal="center" wrapText="1"/>
    </xf>
    <xf numFmtId="165" fontId="20" fillId="0" borderId="14" xfId="0" applyNumberFormat="1" applyFont="1" applyBorder="1"/>
    <xf numFmtId="170" fontId="20" fillId="0" borderId="19" xfId="0" applyFont="1" applyBorder="1" applyAlignment="1">
      <alignment horizontal="center"/>
    </xf>
    <xf numFmtId="170" fontId="20" fillId="0" borderId="20" xfId="0" applyFont="1" applyBorder="1" applyAlignment="1">
      <alignment horizontal="center"/>
    </xf>
    <xf numFmtId="165" fontId="19" fillId="5" borderId="1" xfId="0" applyNumberFormat="1" applyFont="1" applyFill="1" applyBorder="1"/>
    <xf numFmtId="170" fontId="19" fillId="5" borderId="17" xfId="0" applyFont="1" applyFill="1" applyBorder="1" applyAlignment="1">
      <alignment horizontal="center"/>
    </xf>
    <xf numFmtId="44" fontId="19" fillId="5" borderId="1" xfId="4" applyFont="1" applyFill="1" applyBorder="1"/>
    <xf numFmtId="165" fontId="19" fillId="3" borderId="34" xfId="0" applyNumberFormat="1" applyFont="1" applyFill="1" applyBorder="1" applyAlignment="1">
      <alignment horizontal="center"/>
    </xf>
    <xf numFmtId="170" fontId="19" fillId="0" borderId="0" xfId="0" applyFont="1" applyAlignment="1">
      <alignment horizontal="center"/>
    </xf>
    <xf numFmtId="44" fontId="19" fillId="0" borderId="0" xfId="4" applyFont="1"/>
    <xf numFmtId="165" fontId="19" fillId="0" borderId="19" xfId="0" applyNumberFormat="1" applyFont="1" applyBorder="1"/>
    <xf numFmtId="170" fontId="20" fillId="0" borderId="7" xfId="0" applyFont="1" applyBorder="1" applyAlignment="1">
      <alignment horizontal="center"/>
    </xf>
    <xf numFmtId="44" fontId="20" fillId="0" borderId="7" xfId="4" applyFont="1" applyBorder="1" applyAlignment="1">
      <alignment horizontal="right"/>
    </xf>
    <xf numFmtId="170" fontId="20" fillId="0" borderId="8" xfId="0" applyFont="1" applyBorder="1"/>
    <xf numFmtId="165" fontId="20" fillId="0" borderId="15" xfId="0" applyNumberFormat="1" applyFont="1" applyBorder="1"/>
    <xf numFmtId="170" fontId="20" fillId="0" borderId="25" xfId="0" applyFont="1" applyBorder="1" applyAlignment="1">
      <alignment horizontal="center"/>
    </xf>
    <xf numFmtId="44" fontId="19" fillId="3" borderId="1" xfId="4" applyFont="1" applyFill="1" applyBorder="1" applyAlignment="1">
      <alignment wrapText="1"/>
    </xf>
    <xf numFmtId="170" fontId="20" fillId="3" borderId="1" xfId="0" applyFont="1" applyFill="1" applyBorder="1" applyAlignment="1">
      <alignment horizontal="center"/>
    </xf>
    <xf numFmtId="170" fontId="20" fillId="3" borderId="3" xfId="0" applyFont="1" applyFill="1" applyBorder="1" applyAlignment="1">
      <alignment horizontal="center"/>
    </xf>
    <xf numFmtId="44" fontId="20" fillId="0" borderId="5" xfId="4" applyFont="1" applyBorder="1" applyAlignment="1">
      <alignment horizontal="center"/>
    </xf>
    <xf numFmtId="165" fontId="20" fillId="0" borderId="22" xfId="0" applyNumberFormat="1" applyFont="1" applyBorder="1"/>
    <xf numFmtId="170" fontId="20" fillId="0" borderId="37" xfId="0" applyFont="1" applyBorder="1" applyAlignment="1">
      <alignment horizontal="center"/>
    </xf>
    <xf numFmtId="44" fontId="20" fillId="0" borderId="7" xfId="4" applyFont="1" applyBorder="1"/>
    <xf numFmtId="44" fontId="20" fillId="0" borderId="7" xfId="4" applyFont="1" applyBorder="1" applyAlignment="1">
      <alignment horizontal="center"/>
    </xf>
    <xf numFmtId="44" fontId="20" fillId="0" borderId="7" xfId="0" applyNumberFormat="1" applyFont="1" applyBorder="1"/>
    <xf numFmtId="170" fontId="19" fillId="3" borderId="38" xfId="0" applyFont="1" applyFill="1" applyBorder="1" applyAlignment="1">
      <alignment horizontal="center"/>
    </xf>
    <xf numFmtId="165" fontId="20" fillId="0" borderId="8" xfId="0" applyNumberFormat="1" applyFont="1" applyBorder="1"/>
    <xf numFmtId="170" fontId="20" fillId="0" borderId="8" xfId="0" applyFont="1" applyBorder="1" applyAlignment="1">
      <alignment horizontal="center"/>
    </xf>
    <xf numFmtId="44" fontId="19" fillId="3" borderId="39" xfId="0" applyNumberFormat="1" applyFont="1" applyFill="1" applyBorder="1"/>
    <xf numFmtId="44" fontId="20" fillId="0" borderId="5" xfId="4" applyFont="1" applyBorder="1" applyAlignment="1">
      <alignment wrapText="1"/>
    </xf>
    <xf numFmtId="165" fontId="20" fillId="0" borderId="7" xfId="0" applyNumberFormat="1" applyFont="1" applyBorder="1"/>
    <xf numFmtId="44" fontId="20" fillId="0" borderId="6" xfId="4" applyFont="1" applyBorder="1"/>
    <xf numFmtId="44" fontId="20" fillId="0" borderId="6" xfId="4" applyFont="1" applyBorder="1" applyAlignment="1">
      <alignment horizontal="center"/>
    </xf>
    <xf numFmtId="165" fontId="20" fillId="0" borderId="36" xfId="0" applyNumberFormat="1" applyFont="1" applyBorder="1"/>
    <xf numFmtId="170" fontId="19" fillId="0" borderId="10" xfId="0" applyFont="1" applyBorder="1" applyAlignment="1">
      <alignment horizontal="center"/>
    </xf>
    <xf numFmtId="44" fontId="20" fillId="0" borderId="10" xfId="4" applyFont="1" applyBorder="1"/>
    <xf numFmtId="44" fontId="20" fillId="11" borderId="0" xfId="0" applyNumberFormat="1" applyFont="1" applyFill="1"/>
    <xf numFmtId="170" fontId="20" fillId="2" borderId="1" xfId="0" applyFont="1" applyFill="1" applyBorder="1" applyAlignment="1">
      <alignment horizontal="center"/>
    </xf>
    <xf numFmtId="44" fontId="19" fillId="2" borderId="1" xfId="0" applyNumberFormat="1" applyFont="1" applyFill="1" applyBorder="1" applyAlignment="1">
      <alignment horizontal="center"/>
    </xf>
    <xf numFmtId="43" fontId="19" fillId="2" borderId="1" xfId="1" applyFont="1" applyFill="1" applyBorder="1" applyAlignment="1">
      <alignment horizontal="center"/>
    </xf>
    <xf numFmtId="170" fontId="19" fillId="2" borderId="1" xfId="0" applyFont="1" applyFill="1" applyBorder="1" applyAlignment="1">
      <alignment horizontal="center"/>
    </xf>
    <xf numFmtId="170" fontId="19" fillId="8" borderId="1" xfId="0" applyFont="1" applyFill="1" applyBorder="1" applyAlignment="1">
      <alignment horizontal="center"/>
    </xf>
    <xf numFmtId="170" fontId="19" fillId="0" borderId="0" xfId="0" applyFont="1"/>
    <xf numFmtId="44" fontId="19" fillId="0" borderId="0" xfId="0" applyNumberFormat="1" applyFont="1"/>
    <xf numFmtId="170" fontId="20" fillId="0" borderId="10" xfId="0" applyFont="1" applyBorder="1" applyAlignment="1">
      <alignment horizontal="center"/>
    </xf>
    <xf numFmtId="170" fontId="19" fillId="0" borderId="10" xfId="0" applyFont="1" applyBorder="1"/>
    <xf numFmtId="170" fontId="19" fillId="0" borderId="35" xfId="0" applyFont="1" applyBorder="1"/>
    <xf numFmtId="165" fontId="20" fillId="0" borderId="40" xfId="0" applyNumberFormat="1" applyFont="1" applyBorder="1"/>
    <xf numFmtId="44" fontId="20" fillId="0" borderId="14" xfId="4" applyFont="1" applyBorder="1"/>
    <xf numFmtId="44" fontId="20" fillId="0" borderId="16" xfId="0" applyNumberFormat="1" applyFont="1" applyBorder="1"/>
    <xf numFmtId="165" fontId="20" fillId="0" borderId="11" xfId="0" applyNumberFormat="1" applyFont="1" applyBorder="1"/>
    <xf numFmtId="165" fontId="20" fillId="0" borderId="21" xfId="0" applyNumberFormat="1" applyFont="1" applyBorder="1"/>
    <xf numFmtId="170" fontId="20" fillId="0" borderId="22" xfId="0" applyFont="1" applyBorder="1" applyAlignment="1">
      <alignment horizontal="center"/>
    </xf>
    <xf numFmtId="165" fontId="20" fillId="0" borderId="12" xfId="0" applyNumberFormat="1" applyFont="1" applyBorder="1"/>
    <xf numFmtId="170" fontId="20" fillId="0" borderId="41" xfId="0" applyFont="1" applyBorder="1"/>
    <xf numFmtId="44" fontId="19" fillId="4" borderId="1" xfId="0" applyNumberFormat="1" applyFont="1" applyFill="1" applyBorder="1"/>
    <xf numFmtId="44" fontId="19" fillId="0" borderId="14" xfId="4" applyFont="1" applyBorder="1" applyAlignment="1">
      <alignment wrapText="1"/>
    </xf>
    <xf numFmtId="44" fontId="19" fillId="0" borderId="1" xfId="4" applyFont="1" applyBorder="1" applyAlignment="1">
      <alignment wrapText="1"/>
    </xf>
    <xf numFmtId="44" fontId="19" fillId="0" borderId="2" xfId="4" applyFont="1" applyBorder="1" applyAlignment="1">
      <alignment wrapText="1"/>
    </xf>
    <xf numFmtId="44" fontId="19" fillId="0" borderId="1" xfId="4" applyFont="1" applyBorder="1"/>
    <xf numFmtId="44" fontId="19" fillId="0" borderId="1" xfId="4" applyFont="1" applyBorder="1" applyAlignment="1">
      <alignment horizontal="center"/>
    </xf>
    <xf numFmtId="44" fontId="19" fillId="0" borderId="1" xfId="0" applyNumberFormat="1" applyFont="1" applyBorder="1"/>
    <xf numFmtId="44" fontId="20" fillId="0" borderId="42" xfId="0" applyNumberFormat="1" applyFont="1" applyBorder="1" applyAlignment="1">
      <alignment horizontal="center"/>
    </xf>
    <xf numFmtId="44" fontId="20" fillId="0" borderId="42" xfId="4" applyFont="1" applyBorder="1"/>
    <xf numFmtId="44" fontId="19" fillId="0" borderId="42" xfId="4" applyFont="1" applyBorder="1"/>
    <xf numFmtId="170" fontId="20" fillId="0" borderId="42" xfId="0" applyFont="1" applyBorder="1"/>
    <xf numFmtId="170" fontId="20" fillId="0" borderId="43" xfId="0" applyFont="1" applyBorder="1"/>
    <xf numFmtId="44" fontId="19" fillId="0" borderId="0" xfId="0" applyNumberFormat="1" applyFont="1" applyAlignment="1">
      <alignment horizontal="center"/>
    </xf>
    <xf numFmtId="170" fontId="19" fillId="4" borderId="44" xfId="0" applyFont="1" applyFill="1" applyBorder="1" applyAlignment="1">
      <alignment horizontal="center" wrapText="1"/>
    </xf>
    <xf numFmtId="170" fontId="19" fillId="4" borderId="24" xfId="0" applyFont="1" applyFill="1" applyBorder="1" applyAlignment="1">
      <alignment horizontal="center" wrapText="1"/>
    </xf>
    <xf numFmtId="170" fontId="19" fillId="4" borderId="39" xfId="0" applyFont="1" applyFill="1" applyBorder="1" applyAlignment="1">
      <alignment horizontal="center" wrapText="1"/>
    </xf>
    <xf numFmtId="170" fontId="19" fillId="0" borderId="0" xfId="0" applyFont="1" applyAlignment="1">
      <alignment horizontal="center" wrapText="1"/>
    </xf>
    <xf numFmtId="170" fontId="20" fillId="12" borderId="25" xfId="0" applyFont="1" applyFill="1" applyBorder="1"/>
    <xf numFmtId="168" fontId="20" fillId="12" borderId="25" xfId="0" applyNumberFormat="1" applyFont="1" applyFill="1" applyBorder="1"/>
    <xf numFmtId="168" fontId="20" fillId="0" borderId="0" xfId="0" applyNumberFormat="1" applyFont="1"/>
    <xf numFmtId="170" fontId="20" fillId="12" borderId="5" xfId="0" applyFont="1" applyFill="1" applyBorder="1"/>
    <xf numFmtId="168" fontId="20" fillId="12" borderId="5" xfId="0" applyNumberFormat="1" applyFont="1" applyFill="1" applyBorder="1"/>
    <xf numFmtId="170" fontId="20" fillId="12" borderId="6" xfId="0" applyFont="1" applyFill="1" applyBorder="1"/>
    <xf numFmtId="168" fontId="20" fillId="12" borderId="6" xfId="0" applyNumberFormat="1" applyFont="1" applyFill="1" applyBorder="1"/>
    <xf numFmtId="170" fontId="19" fillId="4" borderId="44" xfId="0" applyFont="1" applyFill="1" applyBorder="1"/>
    <xf numFmtId="168" fontId="19" fillId="4" borderId="24" xfId="0" applyNumberFormat="1" applyFont="1" applyFill="1" applyBorder="1"/>
    <xf numFmtId="168" fontId="19" fillId="0" borderId="0" xfId="0" applyNumberFormat="1" applyFont="1"/>
    <xf numFmtId="8" fontId="8" fillId="0" borderId="0" xfId="0" applyNumberFormat="1" applyFont="1"/>
    <xf numFmtId="44" fontId="8" fillId="0" borderId="0" xfId="4" applyFont="1" applyAlignment="1">
      <alignment horizontal="left"/>
    </xf>
    <xf numFmtId="44" fontId="8" fillId="0" borderId="9" xfId="4" applyFont="1" applyBorder="1" applyAlignment="1">
      <alignment horizontal="left"/>
    </xf>
    <xf numFmtId="44" fontId="8" fillId="0" borderId="29" xfId="4" applyFont="1" applyBorder="1" applyAlignment="1">
      <alignment horizontal="left"/>
    </xf>
    <xf numFmtId="44" fontId="8" fillId="0" borderId="29" xfId="4" applyFont="1" applyBorder="1" applyAlignment="1">
      <alignment horizontal="center"/>
    </xf>
    <xf numFmtId="170" fontId="8" fillId="0" borderId="9" xfId="0" applyFont="1" applyBorder="1"/>
    <xf numFmtId="44" fontId="8" fillId="0" borderId="45" xfId="4" applyFont="1" applyBorder="1" applyAlignment="1">
      <alignment horizontal="center"/>
    </xf>
    <xf numFmtId="44" fontId="8" fillId="0" borderId="45" xfId="4" applyFont="1" applyBorder="1"/>
    <xf numFmtId="44" fontId="8" fillId="0" borderId="0" xfId="0" applyNumberFormat="1" applyFont="1"/>
    <xf numFmtId="170" fontId="8" fillId="0" borderId="0" xfId="0" applyFont="1" applyAlignment="1">
      <alignment horizontal="center"/>
    </xf>
    <xf numFmtId="170" fontId="13" fillId="0" borderId="0" xfId="0" applyFont="1" applyAlignment="1">
      <alignment horizontal="center"/>
    </xf>
    <xf numFmtId="43" fontId="8" fillId="0" borderId="0" xfId="1" applyFont="1"/>
    <xf numFmtId="43" fontId="8" fillId="0" borderId="0" xfId="0" applyNumberFormat="1" applyFont="1"/>
    <xf numFmtId="14" fontId="13" fillId="0" borderId="0" xfId="4" applyNumberFormat="1" applyFont="1" applyAlignment="1">
      <alignment horizontal="center"/>
    </xf>
    <xf numFmtId="44" fontId="11" fillId="0" borderId="9" xfId="4" applyFont="1" applyBorder="1"/>
    <xf numFmtId="44" fontId="3" fillId="0" borderId="5" xfId="4" applyBorder="1"/>
    <xf numFmtId="165" fontId="20" fillId="0" borderId="10" xfId="0" applyNumberFormat="1" applyFont="1" applyBorder="1"/>
    <xf numFmtId="44" fontId="12" fillId="0" borderId="46" xfId="4" applyFont="1" applyBorder="1" applyAlignment="1">
      <alignment horizontal="center"/>
    </xf>
    <xf numFmtId="169" fontId="20" fillId="0" borderId="0" xfId="1" applyNumberFormat="1" applyFont="1" applyAlignment="1">
      <alignment horizontal="left" indent="1"/>
    </xf>
    <xf numFmtId="169" fontId="20" fillId="0" borderId="0" xfId="1" applyNumberFormat="1" applyFont="1"/>
    <xf numFmtId="166" fontId="5" fillId="0" borderId="0" xfId="4" applyNumberFormat="1" applyFont="1"/>
    <xf numFmtId="9" fontId="5" fillId="0" borderId="0" xfId="122" applyFont="1" applyAlignment="1">
      <alignment horizontal="center"/>
    </xf>
    <xf numFmtId="166" fontId="5" fillId="0" borderId="41" xfId="4" applyNumberFormat="1" applyFont="1" applyBorder="1"/>
    <xf numFmtId="167" fontId="5" fillId="0" borderId="27" xfId="0" applyNumberFormat="1" applyFont="1" applyBorder="1" applyAlignment="1">
      <alignment horizontal="center"/>
    </xf>
    <xf numFmtId="167" fontId="5" fillId="0" borderId="5" xfId="0" applyNumberFormat="1" applyFont="1" applyBorder="1" applyAlignment="1">
      <alignment horizontal="left"/>
    </xf>
    <xf numFmtId="165" fontId="4" fillId="7" borderId="34" xfId="0" applyNumberFormat="1" applyFont="1" applyFill="1" applyBorder="1" applyAlignment="1">
      <alignment horizontal="center" wrapText="1"/>
    </xf>
    <xf numFmtId="168" fontId="20" fillId="0" borderId="5" xfId="4" applyNumberFormat="1" applyFont="1" applyBorder="1"/>
    <xf numFmtId="44" fontId="4" fillId="2" borderId="34" xfId="4" applyFont="1" applyFill="1" applyBorder="1" applyAlignment="1">
      <alignment horizontal="center" wrapText="1"/>
    </xf>
    <xf numFmtId="44" fontId="5" fillId="0" borderId="5" xfId="4" applyFont="1" applyBorder="1" applyAlignment="1">
      <alignment horizontal="center"/>
    </xf>
    <xf numFmtId="44" fontId="20" fillId="0" borderId="22" xfId="4" applyFont="1" applyBorder="1"/>
    <xf numFmtId="44" fontId="20" fillId="0" borderId="27" xfId="4" applyFont="1" applyBorder="1"/>
    <xf numFmtId="44" fontId="4" fillId="3" borderId="13" xfId="4" applyFont="1" applyFill="1" applyBorder="1" applyAlignment="1">
      <alignment wrapText="1"/>
    </xf>
    <xf numFmtId="165" fontId="19" fillId="3" borderId="1" xfId="0" applyNumberFormat="1" applyFont="1" applyFill="1" applyBorder="1"/>
    <xf numFmtId="44" fontId="19" fillId="3" borderId="1" xfId="4" applyFont="1" applyFill="1" applyBorder="1"/>
    <xf numFmtId="165" fontId="19" fillId="3" borderId="1" xfId="0" applyNumberFormat="1" applyFont="1" applyFill="1" applyBorder="1" applyAlignment="1">
      <alignment horizontal="center"/>
    </xf>
    <xf numFmtId="44" fontId="19" fillId="3" borderId="1" xfId="0" applyNumberFormat="1" applyFont="1" applyFill="1" applyBorder="1" applyAlignment="1">
      <alignment horizontal="center" wrapText="1"/>
    </xf>
    <xf numFmtId="44" fontId="19" fillId="3" borderId="2" xfId="4" applyFont="1" applyFill="1" applyBorder="1" applyAlignment="1">
      <alignment horizontal="center"/>
    </xf>
    <xf numFmtId="165" fontId="19" fillId="3" borderId="3" xfId="0" applyNumberFormat="1" applyFont="1" applyFill="1" applyBorder="1"/>
    <xf numFmtId="170" fontId="19" fillId="3" borderId="44" xfId="0" applyFont="1" applyFill="1" applyBorder="1" applyAlignment="1">
      <alignment horizontal="center"/>
    </xf>
    <xf numFmtId="44" fontId="19" fillId="3" borderId="24" xfId="4" applyFont="1" applyFill="1" applyBorder="1" applyAlignment="1">
      <alignment wrapText="1"/>
    </xf>
    <xf numFmtId="44" fontId="19" fillId="3" borderId="2" xfId="0" applyNumberFormat="1" applyFont="1" applyFill="1" applyBorder="1"/>
    <xf numFmtId="44" fontId="19" fillId="3" borderId="1" xfId="4" applyFont="1" applyFill="1" applyBorder="1" applyAlignment="1">
      <alignment horizontal="right" wrapText="1"/>
    </xf>
    <xf numFmtId="44" fontId="19" fillId="3" borderId="38" xfId="4" applyFont="1" applyFill="1" applyBorder="1" applyAlignment="1">
      <alignment horizontal="center"/>
    </xf>
    <xf numFmtId="170" fontId="19" fillId="3" borderId="13" xfId="0" applyFont="1" applyFill="1" applyBorder="1" applyAlignment="1">
      <alignment horizontal="center"/>
    </xf>
    <xf numFmtId="44" fontId="19" fillId="13" borderId="1" xfId="0" applyNumberFormat="1" applyFont="1" applyFill="1" applyBorder="1"/>
    <xf numFmtId="165" fontId="19" fillId="6" borderId="1" xfId="0" applyNumberFormat="1" applyFont="1" applyFill="1" applyBorder="1"/>
    <xf numFmtId="170" fontId="20" fillId="6" borderId="1" xfId="0" applyFont="1" applyFill="1" applyBorder="1" applyAlignment="1">
      <alignment horizontal="center"/>
    </xf>
    <xf numFmtId="44" fontId="19" fillId="6" borderId="1" xfId="4" applyFont="1" applyFill="1" applyBorder="1" applyAlignment="1">
      <alignment horizontal="center"/>
    </xf>
    <xf numFmtId="44" fontId="19" fillId="6" borderId="1" xfId="0" applyNumberFormat="1" applyFont="1" applyFill="1" applyBorder="1" applyAlignment="1">
      <alignment horizontal="center" wrapText="1"/>
    </xf>
    <xf numFmtId="170" fontId="19" fillId="6" borderId="1" xfId="0" applyFont="1" applyFill="1" applyBorder="1" applyAlignment="1">
      <alignment horizontal="center"/>
    </xf>
    <xf numFmtId="44" fontId="19" fillId="6" borderId="24" xfId="4" applyFont="1" applyFill="1" applyBorder="1" applyAlignment="1">
      <alignment wrapText="1"/>
    </xf>
    <xf numFmtId="44" fontId="19" fillId="6" borderId="44" xfId="4" applyFont="1" applyFill="1" applyBorder="1" applyAlignment="1">
      <alignment wrapText="1"/>
    </xf>
    <xf numFmtId="44" fontId="19" fillId="6" borderId="39" xfId="4" applyFont="1" applyFill="1" applyBorder="1" applyAlignment="1">
      <alignment wrapText="1"/>
    </xf>
    <xf numFmtId="44" fontId="19" fillId="6" borderId="1" xfId="4" applyFont="1" applyFill="1" applyBorder="1" applyAlignment="1">
      <alignment wrapText="1"/>
    </xf>
    <xf numFmtId="44" fontId="19" fillId="6" borderId="1" xfId="0" applyNumberFormat="1" applyFont="1" applyFill="1" applyBorder="1"/>
    <xf numFmtId="170" fontId="19" fillId="12" borderId="1" xfId="0" applyFont="1" applyFill="1" applyBorder="1" applyAlignment="1">
      <alignment horizontal="center"/>
    </xf>
    <xf numFmtId="44" fontId="19" fillId="8" borderId="1" xfId="0" applyNumberFormat="1" applyFont="1" applyFill="1" applyBorder="1"/>
    <xf numFmtId="44" fontId="5" fillId="0" borderId="0" xfId="0" applyNumberFormat="1" applyFont="1" applyAlignment="1">
      <alignment horizontal="center"/>
    </xf>
    <xf numFmtId="44" fontId="0" fillId="0" borderId="0" xfId="4" applyFont="1"/>
    <xf numFmtId="2" fontId="29" fillId="0" borderId="0" xfId="121" applyNumberFormat="1"/>
    <xf numFmtId="2" fontId="19" fillId="0" borderId="1" xfId="4" applyNumberFormat="1" applyFont="1" applyBorder="1" applyAlignment="1">
      <alignment horizontal="center"/>
    </xf>
    <xf numFmtId="168" fontId="20" fillId="0" borderId="25" xfId="39" applyNumberFormat="1" applyFont="1" applyBorder="1"/>
    <xf numFmtId="170" fontId="4" fillId="0" borderId="34" xfId="0" applyFont="1" applyBorder="1" applyAlignment="1">
      <alignment horizontal="center"/>
    </xf>
    <xf numFmtId="44" fontId="20" fillId="0" borderId="25" xfId="41" applyFont="1" applyBorder="1"/>
    <xf numFmtId="44" fontId="20" fillId="0" borderId="25" xfId="6" applyFont="1" applyBorder="1"/>
    <xf numFmtId="44" fontId="20" fillId="0" borderId="25" xfId="7" applyFont="1" applyBorder="1"/>
    <xf numFmtId="44" fontId="20" fillId="0" borderId="25" xfId="27" applyFont="1" applyBorder="1"/>
    <xf numFmtId="44" fontId="20" fillId="0" borderId="25" xfId="39" applyFont="1" applyBorder="1"/>
    <xf numFmtId="44" fontId="20" fillId="0" borderId="5" xfId="8" applyFont="1" applyBorder="1"/>
    <xf numFmtId="44" fontId="20" fillId="0" borderId="25" xfId="8" applyFont="1" applyBorder="1"/>
    <xf numFmtId="44" fontId="20" fillId="0" borderId="25" xfId="9" applyFont="1" applyBorder="1"/>
    <xf numFmtId="44" fontId="20" fillId="0" borderId="25" xfId="10" applyFont="1" applyBorder="1"/>
    <xf numFmtId="44" fontId="20" fillId="0" borderId="25" xfId="11" applyFont="1" applyBorder="1"/>
    <xf numFmtId="44" fontId="20" fillId="0" borderId="25" xfId="12" applyFont="1" applyBorder="1"/>
    <xf numFmtId="44" fontId="20" fillId="0" borderId="25" xfId="13" applyFont="1" applyBorder="1"/>
    <xf numFmtId="43" fontId="5" fillId="0" borderId="0" xfId="0" applyNumberFormat="1" applyFont="1"/>
    <xf numFmtId="169" fontId="5" fillId="0" borderId="0" xfId="4" applyNumberFormat="1" applyFont="1" applyAlignment="1">
      <alignment wrapText="1"/>
    </xf>
    <xf numFmtId="170" fontId="31" fillId="0" borderId="47" xfId="0" applyFont="1" applyBorder="1" applyAlignment="1">
      <alignment horizontal="center"/>
    </xf>
    <xf numFmtId="2" fontId="0" fillId="0" borderId="42" xfId="0" applyNumberFormat="1" applyBorder="1"/>
    <xf numFmtId="49" fontId="0" fillId="0" borderId="42" xfId="0" applyNumberFormat="1" applyBorder="1"/>
    <xf numFmtId="49" fontId="0" fillId="0" borderId="0" xfId="0" applyNumberFormat="1"/>
    <xf numFmtId="44" fontId="8" fillId="0" borderId="0" xfId="15" applyFont="1"/>
    <xf numFmtId="44" fontId="8" fillId="0" borderId="0" xfId="14" applyFont="1"/>
    <xf numFmtId="44" fontId="0" fillId="0" borderId="0" xfId="4" applyFont="1" applyAlignment="1">
      <alignment horizontal="center"/>
    </xf>
    <xf numFmtId="44" fontId="20" fillId="0" borderId="18" xfId="0" applyNumberFormat="1" applyFont="1" applyBorder="1"/>
    <xf numFmtId="170" fontId="30" fillId="0" borderId="47" xfId="0" applyFont="1" applyBorder="1" applyAlignment="1">
      <alignment horizontal="center"/>
    </xf>
    <xf numFmtId="49" fontId="5" fillId="0" borderId="0" xfId="0" applyNumberFormat="1" applyFont="1"/>
    <xf numFmtId="170" fontId="0" fillId="0" borderId="42" xfId="0" applyBorder="1"/>
    <xf numFmtId="165" fontId="32" fillId="0" borderId="0" xfId="0" applyNumberFormat="1" applyFont="1"/>
    <xf numFmtId="44" fontId="33" fillId="0" borderId="0" xfId="4" applyFont="1"/>
    <xf numFmtId="170" fontId="33" fillId="0" borderId="0" xfId="0" applyFont="1"/>
    <xf numFmtId="165" fontId="33" fillId="0" borderId="0" xfId="0" applyNumberFormat="1" applyFont="1"/>
    <xf numFmtId="170" fontId="32" fillId="0" borderId="0" xfId="0" applyFont="1"/>
    <xf numFmtId="44" fontId="32" fillId="0" borderId="0" xfId="4" applyFont="1"/>
    <xf numFmtId="0" fontId="33" fillId="0" borderId="0" xfId="0" applyNumberFormat="1" applyFont="1" applyAlignment="1">
      <alignment horizontal="center"/>
    </xf>
    <xf numFmtId="0" fontId="32" fillId="0" borderId="0" xfId="0" applyNumberFormat="1" applyFont="1" applyAlignment="1">
      <alignment horizontal="center"/>
    </xf>
    <xf numFmtId="165" fontId="34" fillId="0" borderId="0" xfId="0" applyNumberFormat="1" applyFont="1"/>
    <xf numFmtId="0" fontId="34" fillId="0" borderId="1" xfId="4" applyNumberFormat="1" applyFont="1" applyBorder="1" applyAlignment="1">
      <alignment horizontal="center"/>
    </xf>
    <xf numFmtId="44" fontId="35" fillId="0" borderId="0" xfId="4" applyFont="1"/>
    <xf numFmtId="170" fontId="35" fillId="0" borderId="0" xfId="0" applyFont="1"/>
    <xf numFmtId="165" fontId="35" fillId="0" borderId="0" xfId="0" applyNumberFormat="1" applyFont="1"/>
    <xf numFmtId="165" fontId="35" fillId="0" borderId="4" xfId="0" applyNumberFormat="1" applyFont="1" applyBorder="1"/>
    <xf numFmtId="44" fontId="35" fillId="0" borderId="25" xfId="4" applyFont="1" applyBorder="1"/>
    <xf numFmtId="165" fontId="35" fillId="0" borderId="5" xfId="0" applyNumberFormat="1" applyFont="1" applyBorder="1"/>
    <xf numFmtId="0" fontId="35" fillId="0" borderId="5" xfId="0" applyNumberFormat="1" applyFont="1" applyBorder="1" applyAlignment="1">
      <alignment horizontal="center"/>
    </xf>
    <xf numFmtId="165" fontId="35" fillId="0" borderId="6" xfId="0" applyNumberFormat="1" applyFont="1" applyBorder="1"/>
    <xf numFmtId="0" fontId="35" fillId="0" borderId="6" xfId="0" applyNumberFormat="1" applyFont="1" applyBorder="1" applyAlignment="1">
      <alignment horizontal="center"/>
    </xf>
    <xf numFmtId="44" fontId="34" fillId="3" borderId="1" xfId="4" applyFont="1" applyFill="1" applyBorder="1"/>
    <xf numFmtId="0" fontId="35" fillId="0" borderId="0" xfId="0" applyNumberFormat="1" applyFont="1" applyAlignment="1">
      <alignment horizontal="center"/>
    </xf>
    <xf numFmtId="165" fontId="35" fillId="0" borderId="14" xfId="0" applyNumberFormat="1" applyFont="1" applyBorder="1"/>
    <xf numFmtId="0" fontId="35" fillId="0" borderId="19" xfId="0" applyNumberFormat="1" applyFont="1" applyBorder="1" applyAlignment="1">
      <alignment horizontal="center"/>
    </xf>
    <xf numFmtId="44" fontId="35" fillId="0" borderId="25" xfId="39" applyFont="1" applyBorder="1"/>
    <xf numFmtId="0" fontId="35" fillId="0" borderId="20" xfId="0" applyNumberFormat="1" applyFont="1" applyBorder="1" applyAlignment="1">
      <alignment horizontal="center"/>
    </xf>
    <xf numFmtId="44" fontId="35" fillId="0" borderId="0" xfId="0" applyNumberFormat="1" applyFont="1"/>
    <xf numFmtId="44" fontId="35" fillId="0" borderId="5" xfId="4" applyFont="1" applyBorder="1"/>
    <xf numFmtId="0" fontId="34" fillId="0" borderId="0" xfId="0" applyNumberFormat="1" applyFont="1" applyAlignment="1">
      <alignment horizontal="center"/>
    </xf>
    <xf numFmtId="44" fontId="34" fillId="0" borderId="0" xfId="4" applyFont="1"/>
    <xf numFmtId="165" fontId="34" fillId="0" borderId="19" xfId="0" applyNumberFormat="1" applyFont="1" applyBorder="1"/>
    <xf numFmtId="0" fontId="35" fillId="0" borderId="7" xfId="0" applyNumberFormat="1" applyFont="1" applyBorder="1" applyAlignment="1">
      <alignment horizontal="center"/>
    </xf>
    <xf numFmtId="44" fontId="35" fillId="0" borderId="5" xfId="4" applyFont="1" applyBorder="1" applyAlignment="1">
      <alignment horizontal="right"/>
    </xf>
    <xf numFmtId="44" fontId="35" fillId="0" borderId="7" xfId="4" applyFont="1" applyBorder="1" applyAlignment="1">
      <alignment horizontal="right"/>
    </xf>
    <xf numFmtId="165" fontId="35" fillId="0" borderId="15" xfId="0" applyNumberFormat="1" applyFont="1" applyBorder="1"/>
    <xf numFmtId="0" fontId="35" fillId="0" borderId="25" xfId="0" applyNumberFormat="1" applyFont="1" applyBorder="1" applyAlignment="1">
      <alignment horizontal="center"/>
    </xf>
    <xf numFmtId="165" fontId="35" fillId="14" borderId="5" xfId="0" applyNumberFormat="1" applyFont="1" applyFill="1" applyBorder="1"/>
    <xf numFmtId="0" fontId="35" fillId="14" borderId="5" xfId="0" applyNumberFormat="1" applyFont="1" applyFill="1" applyBorder="1" applyAlignment="1">
      <alignment horizontal="center"/>
    </xf>
    <xf numFmtId="44" fontId="35" fillId="14" borderId="25" xfId="4" applyFont="1" applyFill="1" applyBorder="1"/>
    <xf numFmtId="44" fontId="35" fillId="14" borderId="5" xfId="4" applyFont="1" applyFill="1" applyBorder="1"/>
    <xf numFmtId="165" fontId="34" fillId="20" borderId="3" xfId="0" applyNumberFormat="1" applyFont="1" applyFill="1" applyBorder="1"/>
    <xf numFmtId="44" fontId="34" fillId="0" borderId="0" xfId="4" applyFont="1" applyAlignment="1">
      <alignment wrapText="1"/>
    </xf>
    <xf numFmtId="165" fontId="34" fillId="16" borderId="1" xfId="0" applyNumberFormat="1" applyFont="1" applyFill="1" applyBorder="1"/>
    <xf numFmtId="165" fontId="34" fillId="14" borderId="1" xfId="0" applyNumberFormat="1" applyFont="1" applyFill="1" applyBorder="1"/>
    <xf numFmtId="0" fontId="34" fillId="14" borderId="1" xfId="0" applyNumberFormat="1" applyFont="1" applyFill="1" applyBorder="1" applyAlignment="1">
      <alignment horizontal="center"/>
    </xf>
    <xf numFmtId="44" fontId="34" fillId="14" borderId="1" xfId="4" applyFont="1" applyFill="1" applyBorder="1" applyAlignment="1">
      <alignment horizontal="center"/>
    </xf>
    <xf numFmtId="165" fontId="35" fillId="14" borderId="8" xfId="0" applyNumberFormat="1" applyFont="1" applyFill="1" applyBorder="1"/>
    <xf numFmtId="0" fontId="35" fillId="14" borderId="8" xfId="0" applyNumberFormat="1" applyFont="1" applyFill="1" applyBorder="1" applyAlignment="1">
      <alignment horizontal="center"/>
    </xf>
    <xf numFmtId="44" fontId="34" fillId="14" borderId="1" xfId="4" applyFont="1" applyFill="1" applyBorder="1"/>
    <xf numFmtId="165" fontId="34" fillId="3" borderId="1" xfId="0" applyNumberFormat="1" applyFont="1" applyFill="1" applyBorder="1"/>
    <xf numFmtId="0" fontId="35" fillId="3" borderId="1" xfId="0" applyNumberFormat="1" applyFont="1" applyFill="1" applyBorder="1" applyAlignment="1">
      <alignment horizontal="center"/>
    </xf>
    <xf numFmtId="170" fontId="35" fillId="0" borderId="0" xfId="0" applyFont="1" applyAlignment="1">
      <alignment horizontal="center"/>
    </xf>
    <xf numFmtId="165" fontId="35" fillId="0" borderId="25" xfId="0" applyNumberFormat="1" applyFont="1" applyBorder="1"/>
    <xf numFmtId="44" fontId="35" fillId="0" borderId="5" xfId="4" applyFont="1" applyBorder="1" applyAlignment="1">
      <alignment wrapText="1"/>
    </xf>
    <xf numFmtId="165" fontId="35" fillId="0" borderId="7" xfId="0" applyNumberFormat="1" applyFont="1" applyBorder="1"/>
    <xf numFmtId="165" fontId="34" fillId="3" borderId="1" xfId="0" applyNumberFormat="1" applyFont="1" applyFill="1" applyBorder="1" applyAlignment="1">
      <alignment wrapText="1"/>
    </xf>
    <xf numFmtId="0" fontId="34" fillId="17" borderId="1" xfId="0" applyNumberFormat="1" applyFont="1" applyFill="1" applyBorder="1" applyAlignment="1">
      <alignment horizontal="center"/>
    </xf>
    <xf numFmtId="0" fontId="34" fillId="3" borderId="1" xfId="0" applyNumberFormat="1" applyFont="1" applyFill="1" applyBorder="1" applyAlignment="1">
      <alignment horizontal="center"/>
    </xf>
    <xf numFmtId="165" fontId="35" fillId="0" borderId="36" xfId="0" applyNumberFormat="1" applyFont="1" applyBorder="1"/>
    <xf numFmtId="0" fontId="34" fillId="0" borderId="10" xfId="0" applyNumberFormat="1" applyFont="1" applyBorder="1" applyAlignment="1">
      <alignment horizontal="center"/>
    </xf>
    <xf numFmtId="169" fontId="35" fillId="0" borderId="0" xfId="1" applyNumberFormat="1" applyFont="1" applyAlignment="1">
      <alignment horizontal="left" indent="1"/>
    </xf>
    <xf numFmtId="169" fontId="35" fillId="0" borderId="0" xfId="1" applyNumberFormat="1" applyFont="1"/>
    <xf numFmtId="170" fontId="34" fillId="0" borderId="0" xfId="0" applyFont="1"/>
    <xf numFmtId="168" fontId="35" fillId="0" borderId="0" xfId="4" applyNumberFormat="1" applyFont="1"/>
    <xf numFmtId="171" fontId="32" fillId="0" borderId="0" xfId="0" applyNumberFormat="1" applyFont="1"/>
    <xf numFmtId="44" fontId="34" fillId="16" borderId="1" xfId="4" applyFont="1" applyFill="1" applyBorder="1"/>
    <xf numFmtId="0" fontId="34" fillId="16" borderId="1" xfId="0" applyNumberFormat="1" applyFont="1" applyFill="1" applyBorder="1" applyAlignment="1">
      <alignment horizontal="center"/>
    </xf>
    <xf numFmtId="44" fontId="35" fillId="20" borderId="1" xfId="4" applyFont="1" applyFill="1" applyBorder="1"/>
    <xf numFmtId="0" fontId="35" fillId="20" borderId="2" xfId="0" applyNumberFormat="1" applyFont="1" applyFill="1" applyBorder="1" applyAlignment="1">
      <alignment horizontal="center"/>
    </xf>
    <xf numFmtId="44" fontId="34" fillId="20" borderId="1" xfId="4" applyFont="1" applyFill="1" applyBorder="1" applyAlignment="1">
      <alignment horizontal="center"/>
    </xf>
    <xf numFmtId="0" fontId="34" fillId="20" borderId="2" xfId="0" applyNumberFormat="1" applyFont="1" applyFill="1" applyBorder="1" applyAlignment="1">
      <alignment horizontal="center"/>
    </xf>
    <xf numFmtId="44" fontId="34" fillId="20" borderId="1" xfId="4" applyFont="1" applyFill="1" applyBorder="1"/>
    <xf numFmtId="0" fontId="34" fillId="21" borderId="13" xfId="0" applyNumberFormat="1" applyFont="1" applyFill="1" applyBorder="1" applyAlignment="1">
      <alignment horizontal="center"/>
    </xf>
    <xf numFmtId="165" fontId="34" fillId="22" borderId="3" xfId="0" applyNumberFormat="1" applyFont="1" applyFill="1" applyBorder="1"/>
    <xf numFmtId="0" fontId="35" fillId="22" borderId="1" xfId="0" applyNumberFormat="1" applyFont="1" applyFill="1" applyBorder="1" applyAlignment="1">
      <alignment horizontal="center"/>
    </xf>
    <xf numFmtId="44" fontId="34" fillId="22" borderId="2" xfId="4" applyFont="1" applyFill="1" applyBorder="1" applyAlignment="1">
      <alignment horizontal="center"/>
    </xf>
    <xf numFmtId="44" fontId="34" fillId="22" borderId="1" xfId="4" applyFont="1" applyFill="1" applyBorder="1" applyAlignment="1">
      <alignment wrapText="1"/>
    </xf>
    <xf numFmtId="0" fontId="34" fillId="22" borderId="1" xfId="0" applyNumberFormat="1" applyFont="1" applyFill="1" applyBorder="1" applyAlignment="1">
      <alignment horizontal="center"/>
    </xf>
    <xf numFmtId="44" fontId="34" fillId="22" borderId="1" xfId="4" applyFont="1" applyFill="1" applyBorder="1"/>
    <xf numFmtId="44" fontId="34" fillId="22" borderId="1" xfId="4" applyFont="1" applyFill="1" applyBorder="1" applyAlignment="1">
      <alignment horizontal="center"/>
    </xf>
    <xf numFmtId="44" fontId="33" fillId="0" borderId="0" xfId="0" applyNumberFormat="1" applyFont="1"/>
    <xf numFmtId="44" fontId="33" fillId="0" borderId="25" xfId="0" applyNumberFormat="1" applyFont="1" applyBorder="1"/>
    <xf numFmtId="44" fontId="33" fillId="0" borderId="5" xfId="0" applyNumberFormat="1" applyFont="1" applyBorder="1"/>
    <xf numFmtId="44" fontId="33" fillId="0" borderId="6" xfId="0" applyNumberFormat="1" applyFont="1" applyBorder="1"/>
    <xf numFmtId="44" fontId="32" fillId="3" borderId="1" xfId="0" applyNumberFormat="1" applyFont="1" applyFill="1" applyBorder="1" applyAlignment="1">
      <alignment horizontal="center" wrapText="1"/>
    </xf>
    <xf numFmtId="170" fontId="33" fillId="0" borderId="8" xfId="0" applyFont="1" applyBorder="1"/>
    <xf numFmtId="44" fontId="32" fillId="3" borderId="2" xfId="0" applyNumberFormat="1" applyFont="1" applyFill="1" applyBorder="1"/>
    <xf numFmtId="44" fontId="33" fillId="0" borderId="18" xfId="0" applyNumberFormat="1" applyFont="1" applyBorder="1"/>
    <xf numFmtId="44" fontId="32" fillId="2" borderId="1" xfId="0" applyNumberFormat="1" applyFont="1" applyFill="1" applyBorder="1" applyAlignment="1">
      <alignment horizontal="center"/>
    </xf>
    <xf numFmtId="170" fontId="32" fillId="2" borderId="1" xfId="0" applyFont="1" applyFill="1" applyBorder="1" applyAlignment="1">
      <alignment horizontal="center"/>
    </xf>
    <xf numFmtId="44" fontId="32" fillId="8" borderId="1" xfId="0" applyNumberFormat="1" applyFont="1" applyFill="1" applyBorder="1"/>
    <xf numFmtId="44" fontId="32" fillId="13" borderId="1" xfId="0" applyNumberFormat="1" applyFont="1" applyFill="1" applyBorder="1"/>
    <xf numFmtId="170" fontId="32" fillId="0" borderId="10" xfId="0" applyFont="1" applyBorder="1"/>
    <xf numFmtId="170" fontId="32" fillId="0" borderId="35" xfId="0" applyFont="1" applyBorder="1"/>
    <xf numFmtId="44" fontId="32" fillId="6" borderId="1" xfId="0" applyNumberFormat="1" applyFont="1" applyFill="1" applyBorder="1" applyAlignment="1">
      <alignment horizontal="center" wrapText="1"/>
    </xf>
    <xf numFmtId="44" fontId="33" fillId="0" borderId="16" xfId="0" applyNumberFormat="1" applyFont="1" applyBorder="1"/>
    <xf numFmtId="170" fontId="33" fillId="0" borderId="41" xfId="0" applyFont="1" applyBorder="1"/>
    <xf numFmtId="44" fontId="32" fillId="6" borderId="1" xfId="0" applyNumberFormat="1" applyFont="1" applyFill="1" applyBorder="1"/>
    <xf numFmtId="44" fontId="32" fillId="4" borderId="1" xfId="0" applyNumberFormat="1" applyFont="1" applyFill="1" applyBorder="1"/>
    <xf numFmtId="44" fontId="32" fillId="0" borderId="1" xfId="0" applyNumberFormat="1" applyFont="1" applyBorder="1"/>
    <xf numFmtId="170" fontId="33" fillId="0" borderId="42" xfId="0" applyFont="1" applyBorder="1"/>
    <xf numFmtId="170" fontId="33" fillId="0" borderId="43" xfId="0" applyFont="1" applyBorder="1"/>
    <xf numFmtId="44" fontId="32" fillId="0" borderId="0" xfId="0" applyNumberFormat="1" applyFont="1"/>
    <xf numFmtId="44" fontId="32" fillId="0" borderId="41" xfId="0" applyNumberFormat="1" applyFont="1" applyBorder="1"/>
    <xf numFmtId="44" fontId="33" fillId="0" borderId="48" xfId="0" applyNumberFormat="1" applyFont="1" applyBorder="1"/>
    <xf numFmtId="165" fontId="34" fillId="20" borderId="1" xfId="0" applyNumberFormat="1" applyFont="1" applyFill="1" applyBorder="1"/>
    <xf numFmtId="0" fontId="34" fillId="20" borderId="1" xfId="0" applyNumberFormat="1" applyFont="1" applyFill="1" applyBorder="1" applyAlignment="1">
      <alignment horizontal="center"/>
    </xf>
    <xf numFmtId="44" fontId="35" fillId="0" borderId="25" xfId="160" applyFont="1" applyBorder="1"/>
    <xf numFmtId="44" fontId="35" fillId="0" borderId="25" xfId="162" applyFont="1" applyBorder="1"/>
    <xf numFmtId="44" fontId="35" fillId="0" borderId="25" xfId="127" applyFont="1" applyBorder="1"/>
    <xf numFmtId="44" fontId="35" fillId="0" borderId="5" xfId="129" applyFont="1" applyBorder="1"/>
    <xf numFmtId="44" fontId="35" fillId="14" borderId="5" xfId="130" applyFont="1" applyFill="1" applyBorder="1"/>
    <xf numFmtId="44" fontId="35" fillId="0" borderId="5" xfId="130" applyFont="1" applyBorder="1"/>
    <xf numFmtId="165" fontId="34" fillId="15" borderId="1" xfId="0" applyNumberFormat="1" applyFont="1" applyFill="1" applyBorder="1"/>
    <xf numFmtId="0" fontId="34" fillId="15" borderId="1" xfId="0" applyNumberFormat="1" applyFont="1" applyFill="1" applyBorder="1" applyAlignment="1">
      <alignment horizontal="center"/>
    </xf>
    <xf numFmtId="44" fontId="35" fillId="0" borderId="25" xfId="131" applyFont="1" applyBorder="1"/>
    <xf numFmtId="44" fontId="35" fillId="0" borderId="25" xfId="132" applyFont="1" applyBorder="1"/>
    <xf numFmtId="165" fontId="34" fillId="21" borderId="1" xfId="0" applyNumberFormat="1" applyFont="1" applyFill="1" applyBorder="1"/>
    <xf numFmtId="0" fontId="34" fillId="21" borderId="1" xfId="0" applyNumberFormat="1" applyFont="1" applyFill="1" applyBorder="1" applyAlignment="1">
      <alignment horizontal="center"/>
    </xf>
    <xf numFmtId="44" fontId="35" fillId="0" borderId="25" xfId="133" applyFont="1" applyBorder="1"/>
    <xf numFmtId="44" fontId="35" fillId="0" borderId="25" xfId="134" applyFont="1" applyBorder="1"/>
    <xf numFmtId="0" fontId="34" fillId="3" borderId="13" xfId="0" applyNumberFormat="1" applyFont="1" applyFill="1" applyBorder="1" applyAlignment="1">
      <alignment horizontal="center"/>
    </xf>
    <xf numFmtId="165" fontId="34" fillId="2" borderId="1" xfId="0" applyNumberFormat="1" applyFont="1" applyFill="1" applyBorder="1"/>
    <xf numFmtId="0" fontId="35" fillId="2" borderId="1" xfId="0" applyNumberFormat="1" applyFont="1" applyFill="1" applyBorder="1" applyAlignment="1">
      <alignment horizontal="center"/>
    </xf>
    <xf numFmtId="44" fontId="34" fillId="2" borderId="1" xfId="0" applyNumberFormat="1" applyFont="1" applyFill="1" applyBorder="1" applyAlignment="1">
      <alignment horizontal="center"/>
    </xf>
    <xf numFmtId="0" fontId="34" fillId="12" borderId="1" xfId="0" applyNumberFormat="1" applyFont="1" applyFill="1" applyBorder="1" applyAlignment="1">
      <alignment horizontal="center"/>
    </xf>
    <xf numFmtId="44" fontId="34" fillId="8" borderId="1" xfId="0" applyNumberFormat="1" applyFont="1" applyFill="1" applyBorder="1"/>
    <xf numFmtId="44" fontId="34" fillId="0" borderId="0" xfId="0" applyNumberFormat="1" applyFont="1"/>
    <xf numFmtId="0" fontId="35" fillId="0" borderId="10" xfId="0" applyNumberFormat="1" applyFont="1" applyBorder="1" applyAlignment="1">
      <alignment horizontal="center"/>
    </xf>
    <xf numFmtId="170" fontId="34" fillId="0" borderId="10" xfId="0" applyFont="1" applyBorder="1"/>
    <xf numFmtId="165" fontId="34" fillId="19" borderId="5" xfId="0" applyNumberFormat="1" applyFont="1" applyFill="1" applyBorder="1"/>
    <xf numFmtId="0" fontId="35" fillId="19" borderId="5" xfId="0" applyNumberFormat="1" applyFont="1" applyFill="1" applyBorder="1" applyAlignment="1">
      <alignment horizontal="center"/>
    </xf>
    <xf numFmtId="165" fontId="34" fillId="6" borderId="5" xfId="0" applyNumberFormat="1" applyFont="1" applyFill="1" applyBorder="1"/>
    <xf numFmtId="0" fontId="34" fillId="6" borderId="5" xfId="0" applyNumberFormat="1" applyFont="1" applyFill="1" applyBorder="1" applyAlignment="1">
      <alignment horizontal="center"/>
    </xf>
    <xf numFmtId="165" fontId="34" fillId="0" borderId="5" xfId="0" applyNumberFormat="1" applyFont="1" applyBorder="1"/>
    <xf numFmtId="0" fontId="34" fillId="0" borderId="5" xfId="0" applyNumberFormat="1" applyFont="1" applyBorder="1" applyAlignment="1">
      <alignment horizontal="center"/>
    </xf>
    <xf numFmtId="165" fontId="34" fillId="6" borderId="25" xfId="0" applyNumberFormat="1" applyFont="1" applyFill="1" applyBorder="1" applyAlignment="1">
      <alignment wrapText="1"/>
    </xf>
    <xf numFmtId="0" fontId="34" fillId="6" borderId="25" xfId="0" applyNumberFormat="1" applyFont="1" applyFill="1" applyBorder="1" applyAlignment="1">
      <alignment horizontal="center"/>
    </xf>
    <xf numFmtId="165" fontId="34" fillId="6" borderId="5" xfId="0" applyNumberFormat="1" applyFont="1" applyFill="1" applyBorder="1" applyAlignment="1">
      <alignment wrapText="1"/>
    </xf>
    <xf numFmtId="165" fontId="34" fillId="0" borderId="0" xfId="0" applyNumberFormat="1" applyFont="1" applyAlignment="1">
      <alignment wrapText="1"/>
    </xf>
    <xf numFmtId="165" fontId="34" fillId="15" borderId="5" xfId="0" applyNumberFormat="1" applyFont="1" applyFill="1" applyBorder="1"/>
    <xf numFmtId="165" fontId="34" fillId="18" borderId="5" xfId="0" applyNumberFormat="1" applyFont="1" applyFill="1" applyBorder="1" applyAlignment="1">
      <alignment horizontal="right"/>
    </xf>
    <xf numFmtId="0" fontId="35" fillId="18" borderId="5" xfId="0" applyNumberFormat="1" applyFont="1" applyFill="1" applyBorder="1" applyAlignment="1">
      <alignment horizontal="center"/>
    </xf>
    <xf numFmtId="165" fontId="35" fillId="0" borderId="12" xfId="0" applyNumberFormat="1" applyFont="1" applyBorder="1"/>
    <xf numFmtId="170" fontId="35" fillId="0" borderId="42" xfId="0" applyFont="1" applyBorder="1"/>
    <xf numFmtId="37" fontId="33" fillId="0" borderId="0" xfId="0" applyNumberFormat="1" applyFont="1"/>
    <xf numFmtId="0" fontId="34" fillId="15" borderId="2" xfId="0" applyNumberFormat="1" applyFont="1" applyFill="1" applyBorder="1" applyAlignment="1">
      <alignment horizontal="center"/>
    </xf>
    <xf numFmtId="44" fontId="32" fillId="15" borderId="34" xfId="0" applyNumberFormat="1" applyFont="1" applyFill="1" applyBorder="1" applyAlignment="1">
      <alignment horizontal="center" wrapText="1"/>
    </xf>
    <xf numFmtId="165" fontId="34" fillId="15" borderId="3" xfId="0" applyNumberFormat="1" applyFont="1" applyFill="1" applyBorder="1"/>
    <xf numFmtId="0" fontId="35" fillId="15" borderId="2" xfId="0" applyNumberFormat="1" applyFont="1" applyFill="1" applyBorder="1" applyAlignment="1">
      <alignment horizontal="center"/>
    </xf>
    <xf numFmtId="44" fontId="33" fillId="15" borderId="1" xfId="0" applyNumberFormat="1" applyFont="1" applyFill="1" applyBorder="1"/>
    <xf numFmtId="165" fontId="34" fillId="22" borderId="1" xfId="0" applyNumberFormat="1" applyFont="1" applyFill="1" applyBorder="1" applyAlignment="1">
      <alignment horizontal="center" wrapText="1"/>
    </xf>
    <xf numFmtId="0" fontId="34" fillId="22" borderId="17" xfId="0" applyNumberFormat="1" applyFont="1" applyFill="1" applyBorder="1" applyAlignment="1">
      <alignment horizontal="center" wrapText="1"/>
    </xf>
    <xf numFmtId="44" fontId="32" fillId="22" borderId="1" xfId="0" applyNumberFormat="1" applyFont="1" applyFill="1" applyBorder="1" applyAlignment="1">
      <alignment horizontal="center" wrapText="1"/>
    </xf>
    <xf numFmtId="165" fontId="34" fillId="22" borderId="1" xfId="0" applyNumberFormat="1" applyFont="1" applyFill="1" applyBorder="1"/>
    <xf numFmtId="0" fontId="34" fillId="22" borderId="17" xfId="0" applyNumberFormat="1" applyFont="1" applyFill="1" applyBorder="1" applyAlignment="1">
      <alignment horizontal="center"/>
    </xf>
    <xf numFmtId="44" fontId="32" fillId="20" borderId="1" xfId="0" applyNumberFormat="1" applyFont="1" applyFill="1" applyBorder="1" applyAlignment="1">
      <alignment horizontal="center" wrapText="1"/>
    </xf>
    <xf numFmtId="44" fontId="32" fillId="15" borderId="1" xfId="0" applyNumberFormat="1" applyFont="1" applyFill="1" applyBorder="1" applyAlignment="1">
      <alignment horizontal="center" wrapText="1"/>
    </xf>
    <xf numFmtId="0" fontId="35" fillId="15" borderId="1" xfId="0" applyNumberFormat="1" applyFont="1" applyFill="1" applyBorder="1" applyAlignment="1">
      <alignment horizontal="center"/>
    </xf>
    <xf numFmtId="44" fontId="32" fillId="21" borderId="1" xfId="0" applyNumberFormat="1" applyFont="1" applyFill="1" applyBorder="1" applyAlignment="1">
      <alignment horizontal="center" wrapText="1"/>
    </xf>
    <xf numFmtId="165" fontId="34" fillId="21" borderId="3" xfId="0" applyNumberFormat="1" applyFont="1" applyFill="1" applyBorder="1"/>
    <xf numFmtId="0" fontId="34" fillId="21" borderId="44" xfId="0" applyNumberFormat="1" applyFont="1" applyFill="1" applyBorder="1" applyAlignment="1">
      <alignment horizontal="center"/>
    </xf>
    <xf numFmtId="0" fontId="35" fillId="20" borderId="0" xfId="0" applyNumberFormat="1" applyFont="1" applyFill="1" applyAlignment="1">
      <alignment horizontal="center"/>
    </xf>
    <xf numFmtId="170" fontId="35" fillId="20" borderId="0" xfId="0" applyFont="1" applyFill="1"/>
    <xf numFmtId="44" fontId="35" fillId="20" borderId="0" xfId="0" applyNumberFormat="1" applyFont="1" applyFill="1"/>
    <xf numFmtId="44" fontId="33" fillId="20" borderId="0" xfId="0" applyNumberFormat="1" applyFont="1" applyFill="1"/>
    <xf numFmtId="2" fontId="35" fillId="0" borderId="0" xfId="0" applyNumberFormat="1" applyFont="1"/>
    <xf numFmtId="2" fontId="33" fillId="0" borderId="0" xfId="0" applyNumberFormat="1" applyFont="1"/>
    <xf numFmtId="170" fontId="33" fillId="0" borderId="5" xfId="0" applyFont="1" applyBorder="1"/>
    <xf numFmtId="170" fontId="32" fillId="0" borderId="5" xfId="0" applyFont="1" applyBorder="1"/>
    <xf numFmtId="170" fontId="32" fillId="0" borderId="0" xfId="0" applyFont="1" applyAlignment="1">
      <alignment horizontal="center"/>
    </xf>
    <xf numFmtId="43" fontId="0" fillId="0" borderId="0" xfId="1" applyFont="1"/>
    <xf numFmtId="172" fontId="34" fillId="16" borderId="1" xfId="4" applyNumberFormat="1" applyFont="1" applyFill="1" applyBorder="1" applyAlignment="1">
      <alignment wrapText="1"/>
    </xf>
    <xf numFmtId="165" fontId="35" fillId="0" borderId="49" xfId="0" applyNumberFormat="1" applyFont="1" applyBorder="1"/>
    <xf numFmtId="0" fontId="35" fillId="0" borderId="50" xfId="4" applyNumberFormat="1" applyFont="1" applyBorder="1" applyAlignment="1">
      <alignment horizontal="center"/>
    </xf>
    <xf numFmtId="165" fontId="35" fillId="0" borderId="11" xfId="0" applyNumberFormat="1" applyFont="1" applyBorder="1"/>
    <xf numFmtId="165" fontId="35" fillId="0" borderId="52" xfId="0" applyNumberFormat="1" applyFont="1" applyBorder="1"/>
    <xf numFmtId="0" fontId="35" fillId="0" borderId="22" xfId="0" applyNumberFormat="1" applyFont="1" applyBorder="1" applyAlignment="1">
      <alignment horizontal="center"/>
    </xf>
    <xf numFmtId="165" fontId="35" fillId="0" borderId="23" xfId="0" applyNumberFormat="1" applyFont="1" applyBorder="1"/>
    <xf numFmtId="0" fontId="35" fillId="0" borderId="54" xfId="0" applyNumberFormat="1" applyFont="1" applyBorder="1" applyAlignment="1">
      <alignment horizontal="center"/>
    </xf>
    <xf numFmtId="0" fontId="35" fillId="0" borderId="8" xfId="0" applyNumberFormat="1" applyFont="1" applyBorder="1" applyAlignment="1">
      <alignment horizontal="center"/>
    </xf>
    <xf numFmtId="0" fontId="34" fillId="22" borderId="38" xfId="0" applyNumberFormat="1" applyFont="1" applyFill="1" applyBorder="1" applyAlignment="1">
      <alignment horizontal="center"/>
    </xf>
    <xf numFmtId="44" fontId="34" fillId="22" borderId="53" xfId="4" applyFont="1" applyFill="1" applyBorder="1" applyAlignment="1">
      <alignment wrapText="1"/>
    </xf>
    <xf numFmtId="0" fontId="35" fillId="0" borderId="14" xfId="0" applyNumberFormat="1" applyFont="1" applyBorder="1" applyAlignment="1">
      <alignment horizontal="center"/>
    </xf>
    <xf numFmtId="165" fontId="35" fillId="0" borderId="40" xfId="0" applyNumberFormat="1" applyFont="1" applyBorder="1"/>
    <xf numFmtId="165" fontId="35" fillId="0" borderId="38" xfId="0" applyNumberFormat="1" applyFont="1" applyBorder="1"/>
    <xf numFmtId="0" fontId="35" fillId="0" borderId="53" xfId="0" applyNumberFormat="1" applyFont="1" applyBorder="1" applyAlignment="1">
      <alignment horizontal="center"/>
    </xf>
    <xf numFmtId="44" fontId="35" fillId="0" borderId="22" xfId="4" applyFont="1" applyBorder="1"/>
    <xf numFmtId="165" fontId="34" fillId="3" borderId="34" xfId="0" applyNumberFormat="1" applyFont="1" applyFill="1" applyBorder="1"/>
    <xf numFmtId="0" fontId="35" fillId="3" borderId="34" xfId="0" applyNumberFormat="1" applyFont="1" applyFill="1" applyBorder="1" applyAlignment="1">
      <alignment horizontal="center"/>
    </xf>
    <xf numFmtId="44" fontId="34" fillId="3" borderId="34" xfId="4" applyFont="1" applyFill="1" applyBorder="1" applyAlignment="1">
      <alignment horizontal="right" wrapText="1"/>
    </xf>
    <xf numFmtId="170" fontId="35" fillId="0" borderId="49" xfId="0" applyFont="1" applyBorder="1" applyAlignment="1">
      <alignment horizontal="center"/>
    </xf>
    <xf numFmtId="0" fontId="35" fillId="0" borderId="8" xfId="4" applyNumberFormat="1" applyFont="1" applyBorder="1"/>
    <xf numFmtId="170" fontId="35" fillId="0" borderId="51" xfId="0" applyFont="1" applyBorder="1"/>
    <xf numFmtId="4" fontId="0" fillId="0" borderId="0" xfId="0" applyNumberFormat="1"/>
    <xf numFmtId="4" fontId="3" fillId="0" borderId="0" xfId="0" applyNumberFormat="1" applyFont="1"/>
    <xf numFmtId="170" fontId="3" fillId="0" borderId="0" xfId="0" applyFont="1"/>
    <xf numFmtId="165" fontId="36" fillId="0" borderId="20" xfId="0" applyNumberFormat="1" applyFont="1" applyBorder="1" applyAlignment="1">
      <alignment horizontal="center" vertical="center" wrapText="1"/>
    </xf>
    <xf numFmtId="165" fontId="36" fillId="0" borderId="30" xfId="0" applyNumberFormat="1" applyFont="1" applyBorder="1" applyAlignment="1">
      <alignment horizontal="center" vertical="center" wrapText="1"/>
    </xf>
    <xf numFmtId="165" fontId="36" fillId="0" borderId="27" xfId="0" applyNumberFormat="1" applyFont="1" applyBorder="1" applyAlignment="1">
      <alignment horizontal="center" vertical="center" wrapText="1"/>
    </xf>
    <xf numFmtId="165" fontId="36" fillId="0" borderId="5" xfId="0" applyNumberFormat="1" applyFont="1" applyBorder="1" applyAlignment="1">
      <alignment horizontal="center" vertical="center" wrapText="1"/>
    </xf>
    <xf numFmtId="170" fontId="35" fillId="0" borderId="20" xfId="0" applyFont="1" applyBorder="1" applyAlignment="1">
      <alignment horizontal="center"/>
    </xf>
    <xf numFmtId="170" fontId="35" fillId="0" borderId="30" xfId="0" applyFont="1" applyBorder="1" applyAlignment="1">
      <alignment horizontal="center"/>
    </xf>
    <xf numFmtId="170" fontId="35" fillId="0" borderId="27" xfId="0" applyFont="1" applyBorder="1" applyAlignment="1">
      <alignment horizontal="center"/>
    </xf>
    <xf numFmtId="170" fontId="34" fillId="0" borderId="20" xfId="0" applyFont="1" applyBorder="1" applyAlignment="1">
      <alignment horizontal="center"/>
    </xf>
    <xf numFmtId="170" fontId="34" fillId="0" borderId="30" xfId="0" applyFont="1" applyBorder="1" applyAlignment="1">
      <alignment horizontal="center"/>
    </xf>
    <xf numFmtId="170" fontId="34" fillId="0" borderId="27" xfId="0" applyFont="1" applyBorder="1" applyAlignment="1">
      <alignment horizontal="center"/>
    </xf>
    <xf numFmtId="0" fontId="35" fillId="0" borderId="0" xfId="4" applyNumberFormat="1" applyFont="1" applyAlignment="1">
      <alignment horizontal="center"/>
    </xf>
    <xf numFmtId="17" fontId="34" fillId="0" borderId="0" xfId="4" applyNumberFormat="1" applyFont="1"/>
    <xf numFmtId="44" fontId="34" fillId="0" borderId="0" xfId="4" applyFont="1" applyAlignment="1">
      <alignment horizontal="center"/>
    </xf>
    <xf numFmtId="44" fontId="34" fillId="15" borderId="1" xfId="4" applyFont="1" applyFill="1" applyBorder="1" applyAlignment="1">
      <alignment horizontal="center"/>
    </xf>
    <xf numFmtId="44" fontId="34" fillId="15" borderId="1" xfId="4" applyFont="1" applyFill="1" applyBorder="1"/>
    <xf numFmtId="44" fontId="32" fillId="15" borderId="1" xfId="4" applyFont="1" applyFill="1" applyBorder="1" applyAlignment="1">
      <alignment horizontal="center" wrapText="1"/>
    </xf>
    <xf numFmtId="44" fontId="35" fillId="15" borderId="1" xfId="4" applyFont="1" applyFill="1" applyBorder="1"/>
    <xf numFmtId="44" fontId="33" fillId="15" borderId="1" xfId="4" applyFont="1" applyFill="1" applyBorder="1"/>
    <xf numFmtId="44" fontId="35" fillId="0" borderId="25" xfId="149" applyFont="1" applyBorder="1"/>
    <xf numFmtId="44" fontId="33" fillId="0" borderId="25" xfId="4" applyFont="1" applyBorder="1" applyAlignment="1">
      <alignment horizontal="center"/>
    </xf>
    <xf numFmtId="44" fontId="34" fillId="0" borderId="25" xfId="149" applyFont="1" applyBorder="1"/>
    <xf numFmtId="44" fontId="34" fillId="0" borderId="25" xfId="4" applyFont="1" applyBorder="1"/>
    <xf numFmtId="44" fontId="32" fillId="0" borderId="25" xfId="4" applyFont="1" applyBorder="1" applyAlignment="1">
      <alignment horizontal="center"/>
    </xf>
    <xf numFmtId="44" fontId="32" fillId="0" borderId="25" xfId="0" applyNumberFormat="1" applyFont="1" applyBorder="1"/>
    <xf numFmtId="168" fontId="32" fillId="22" borderId="1" xfId="4" applyNumberFormat="1" applyFont="1" applyFill="1" applyBorder="1" applyAlignment="1">
      <alignment horizontal="center"/>
    </xf>
    <xf numFmtId="44" fontId="32" fillId="20" borderId="1" xfId="4" applyFont="1" applyFill="1" applyBorder="1" applyAlignment="1">
      <alignment horizontal="center"/>
    </xf>
    <xf numFmtId="44" fontId="34" fillId="0" borderId="5" xfId="4" applyFont="1" applyBorder="1"/>
    <xf numFmtId="168" fontId="35" fillId="0" borderId="5" xfId="4" applyNumberFormat="1" applyFont="1" applyBorder="1"/>
    <xf numFmtId="44" fontId="34" fillId="20" borderId="1" xfId="4" applyFont="1" applyFill="1" applyBorder="1" applyAlignment="1">
      <alignment wrapText="1"/>
    </xf>
    <xf numFmtId="44" fontId="34" fillId="15" borderId="2" xfId="4" applyFont="1" applyFill="1" applyBorder="1" applyAlignment="1">
      <alignment horizontal="center"/>
    </xf>
    <xf numFmtId="44" fontId="32" fillId="15" borderId="1" xfId="4" applyFont="1" applyFill="1" applyBorder="1" applyAlignment="1">
      <alignment horizontal="center"/>
    </xf>
    <xf numFmtId="44" fontId="35" fillId="0" borderId="27" xfId="4" applyFont="1" applyBorder="1"/>
    <xf numFmtId="44" fontId="34" fillId="15" borderId="1" xfId="4" applyFont="1" applyFill="1" applyBorder="1" applyAlignment="1">
      <alignment wrapText="1"/>
    </xf>
    <xf numFmtId="44" fontId="34" fillId="3" borderId="1" xfId="4" applyFont="1" applyFill="1" applyBorder="1" applyAlignment="1">
      <alignment wrapText="1"/>
    </xf>
    <xf numFmtId="44" fontId="34" fillId="21" borderId="1" xfId="4" applyFont="1" applyFill="1" applyBorder="1" applyAlignment="1">
      <alignment horizontal="center"/>
    </xf>
    <xf numFmtId="44" fontId="32" fillId="21" borderId="1" xfId="4" applyFont="1" applyFill="1" applyBorder="1" applyAlignment="1">
      <alignment horizontal="center"/>
    </xf>
    <xf numFmtId="44" fontId="34" fillId="21" borderId="24" xfId="4" applyFont="1" applyFill="1" applyBorder="1" applyAlignment="1">
      <alignment wrapText="1"/>
    </xf>
    <xf numFmtId="44" fontId="32" fillId="0" borderId="0" xfId="4" applyFont="1" applyAlignment="1">
      <alignment horizontal="center"/>
    </xf>
    <xf numFmtId="44" fontId="35" fillId="20" borderId="0" xfId="4" applyFont="1" applyFill="1"/>
    <xf numFmtId="44" fontId="32" fillId="3" borderId="1" xfId="4" applyFont="1" applyFill="1" applyBorder="1" applyAlignment="1">
      <alignment horizontal="center"/>
    </xf>
    <xf numFmtId="44" fontId="33" fillId="0" borderId="7" xfId="4" applyFont="1" applyBorder="1" applyAlignment="1">
      <alignment horizontal="center"/>
    </xf>
    <xf numFmtId="44" fontId="34" fillId="3" borderId="1" xfId="4" applyFont="1" applyFill="1" applyBorder="1" applyAlignment="1">
      <alignment horizontal="right" wrapText="1"/>
    </xf>
    <xf numFmtId="0" fontId="35" fillId="0" borderId="0" xfId="4" applyNumberFormat="1" applyFont="1"/>
    <xf numFmtId="44" fontId="35" fillId="0" borderId="6" xfId="4" applyFont="1" applyBorder="1"/>
    <xf numFmtId="44" fontId="35" fillId="0" borderId="10" xfId="4" applyFont="1" applyBorder="1"/>
    <xf numFmtId="44" fontId="37" fillId="3" borderId="1" xfId="4" applyFont="1" applyFill="1" applyBorder="1" applyAlignment="1">
      <alignment wrapText="1"/>
    </xf>
    <xf numFmtId="43" fontId="34" fillId="2" borderId="1" xfId="1" applyFont="1" applyFill="1" applyBorder="1" applyAlignment="1">
      <alignment horizontal="center"/>
    </xf>
    <xf numFmtId="44" fontId="34" fillId="19" borderId="5" xfId="4" applyFont="1" applyFill="1" applyBorder="1" applyAlignment="1">
      <alignment horizontal="center"/>
    </xf>
    <xf numFmtId="44" fontId="34" fillId="19" borderId="1" xfId="4" applyFont="1" applyFill="1" applyBorder="1" applyAlignment="1">
      <alignment horizontal="center"/>
    </xf>
    <xf numFmtId="44" fontId="34" fillId="6" borderId="5" xfId="4" applyFont="1" applyFill="1" applyBorder="1" applyAlignment="1">
      <alignment horizontal="center"/>
    </xf>
    <xf numFmtId="44" fontId="32" fillId="6" borderId="2" xfId="4" applyFont="1" applyFill="1" applyBorder="1" applyAlignment="1">
      <alignment horizontal="center"/>
    </xf>
    <xf numFmtId="44" fontId="33" fillId="0" borderId="31" xfId="4" applyFont="1" applyBorder="1" applyAlignment="1">
      <alignment horizontal="center"/>
    </xf>
    <xf numFmtId="44" fontId="33" fillId="0" borderId="37" xfId="4" applyFont="1" applyBorder="1" applyAlignment="1">
      <alignment horizontal="center"/>
    </xf>
    <xf numFmtId="44" fontId="34" fillId="6" borderId="5" xfId="4" applyFont="1" applyFill="1" applyBorder="1" applyAlignment="1">
      <alignment wrapText="1"/>
    </xf>
    <xf numFmtId="44" fontId="32" fillId="6" borderId="13" xfId="4" applyFont="1" applyFill="1" applyBorder="1" applyAlignment="1">
      <alignment wrapText="1"/>
    </xf>
    <xf numFmtId="44" fontId="32" fillId="6" borderId="39" xfId="4" applyFont="1" applyFill="1" applyBorder="1" applyAlignment="1">
      <alignment wrapText="1"/>
    </xf>
    <xf numFmtId="44" fontId="34" fillId="0" borderId="5" xfId="4" applyFont="1" applyBorder="1" applyAlignment="1">
      <alignment wrapText="1"/>
    </xf>
    <xf numFmtId="44" fontId="32" fillId="0" borderId="0" xfId="4" applyFont="1" applyAlignment="1">
      <alignment wrapText="1"/>
    </xf>
    <xf numFmtId="44" fontId="32" fillId="0" borderId="41" xfId="4" applyFont="1" applyBorder="1" applyAlignment="1">
      <alignment wrapText="1"/>
    </xf>
    <xf numFmtId="44" fontId="34" fillId="6" borderId="25" xfId="4" applyFont="1" applyFill="1" applyBorder="1" applyAlignment="1">
      <alignment wrapText="1"/>
    </xf>
    <xf numFmtId="44" fontId="34" fillId="15" borderId="5" xfId="4" applyFont="1" applyFill="1" applyBorder="1" applyAlignment="1">
      <alignment wrapText="1"/>
    </xf>
    <xf numFmtId="44" fontId="32" fillId="0" borderId="2" xfId="4" applyFont="1" applyBorder="1" applyAlignment="1">
      <alignment wrapText="1"/>
    </xf>
    <xf numFmtId="44" fontId="32" fillId="0" borderId="1" xfId="4" applyFont="1" applyBorder="1" applyAlignment="1">
      <alignment wrapText="1"/>
    </xf>
    <xf numFmtId="44" fontId="35" fillId="18" borderId="5" xfId="4" applyFont="1" applyFill="1" applyBorder="1" applyAlignment="1">
      <alignment wrapText="1"/>
    </xf>
    <xf numFmtId="44" fontId="32" fillId="0" borderId="2" xfId="4" applyFont="1" applyBorder="1" applyAlignment="1">
      <alignment horizontal="center"/>
    </xf>
    <xf numFmtId="44" fontId="34" fillId="0" borderId="42" xfId="4" applyFont="1" applyBorder="1"/>
    <xf numFmtId="44" fontId="35" fillId="0" borderId="56" xfId="4" applyFont="1" applyBorder="1"/>
    <xf numFmtId="170" fontId="35" fillId="0" borderId="55" xfId="0" applyFont="1" applyBorder="1"/>
    <xf numFmtId="44" fontId="34" fillId="22" borderId="3" xfId="4" applyFont="1" applyFill="1" applyBorder="1"/>
    <xf numFmtId="44" fontId="35" fillId="0" borderId="5" xfId="39" applyFont="1" applyBorder="1"/>
    <xf numFmtId="44" fontId="35" fillId="0" borderId="22" xfId="39" applyFont="1" applyBorder="1"/>
    <xf numFmtId="2" fontId="3" fillId="0" borderId="0" xfId="0" applyNumberFormat="1" applyFont="1"/>
    <xf numFmtId="165" fontId="37" fillId="0" borderId="0" xfId="0" applyNumberFormat="1" applyFont="1"/>
    <xf numFmtId="2" fontId="34" fillId="0" borderId="27" xfId="0" applyNumberFormat="1" applyFont="1" applyBorder="1" applyAlignment="1">
      <alignment horizontal="center"/>
    </xf>
    <xf numFmtId="170" fontId="0" fillId="0" borderId="30" xfId="0" applyBorder="1"/>
    <xf numFmtId="44" fontId="35" fillId="0" borderId="25" xfId="39" applyFont="1" applyFill="1" applyBorder="1"/>
    <xf numFmtId="0" fontId="35" fillId="0" borderId="5" xfId="176" applyNumberFormat="1" applyFont="1" applyBorder="1" applyAlignment="1">
      <alignment horizontal="center"/>
    </xf>
    <xf numFmtId="0" fontId="35" fillId="0" borderId="20" xfId="176" applyNumberFormat="1" applyFont="1" applyBorder="1" applyAlignment="1">
      <alignment horizontal="center"/>
    </xf>
    <xf numFmtId="165" fontId="35" fillId="0" borderId="11" xfId="176" applyNumberFormat="1" applyFont="1" applyBorder="1"/>
    <xf numFmtId="165" fontId="35" fillId="0" borderId="52" xfId="176" applyNumberFormat="1" applyFont="1" applyBorder="1"/>
    <xf numFmtId="0" fontId="35" fillId="0" borderId="22" xfId="176" applyNumberFormat="1" applyFont="1" applyBorder="1" applyAlignment="1">
      <alignment horizontal="center"/>
    </xf>
    <xf numFmtId="165" fontId="35" fillId="0" borderId="23" xfId="176" applyNumberFormat="1" applyFont="1" applyBorder="1"/>
    <xf numFmtId="0" fontId="35" fillId="0" borderId="54" xfId="176" applyNumberFormat="1" applyFont="1" applyBorder="1" applyAlignment="1">
      <alignment horizontal="center"/>
    </xf>
    <xf numFmtId="44" fontId="35" fillId="0" borderId="28" xfId="4" applyFont="1" applyBorder="1"/>
    <xf numFmtId="44" fontId="35" fillId="20" borderId="34" xfId="4" applyFont="1" applyFill="1" applyBorder="1"/>
    <xf numFmtId="44" fontId="35" fillId="0" borderId="32" xfId="4" applyFont="1" applyBorder="1"/>
    <xf numFmtId="165" fontId="34" fillId="17" borderId="11" xfId="0" applyNumberFormat="1" applyFont="1" applyFill="1" applyBorder="1"/>
    <xf numFmtId="0" fontId="34" fillId="17" borderId="5" xfId="0" applyNumberFormat="1" applyFont="1" applyFill="1" applyBorder="1" applyAlignment="1">
      <alignment horizontal="center"/>
    </xf>
    <xf numFmtId="44" fontId="35" fillId="17" borderId="25" xfId="4" applyFont="1" applyFill="1" applyBorder="1"/>
    <xf numFmtId="173" fontId="32" fillId="0" borderId="0" xfId="0" applyNumberFormat="1" applyFont="1"/>
    <xf numFmtId="44" fontId="35" fillId="0" borderId="55" xfId="149" applyFont="1" applyBorder="1"/>
    <xf numFmtId="44" fontId="35" fillId="0" borderId="15" xfId="149" applyFont="1" applyBorder="1"/>
    <xf numFmtId="44" fontId="35" fillId="0" borderId="31" xfId="160" applyFont="1" applyBorder="1"/>
    <xf numFmtId="44" fontId="34" fillId="17" borderId="25" xfId="4" applyFont="1" applyFill="1" applyBorder="1"/>
    <xf numFmtId="44" fontId="35" fillId="0" borderId="11" xfId="160" applyFont="1" applyBorder="1"/>
    <xf numFmtId="44" fontId="35" fillId="0" borderId="56" xfId="4" applyFont="1" applyFill="1" applyBorder="1"/>
    <xf numFmtId="174" fontId="35" fillId="0" borderId="5" xfId="4" applyNumberFormat="1" applyFont="1" applyBorder="1"/>
    <xf numFmtId="174" fontId="34" fillId="23" borderId="5" xfId="4" applyNumberFormat="1" applyFont="1" applyFill="1" applyBorder="1"/>
    <xf numFmtId="174" fontId="34" fillId="21" borderId="5" xfId="4" applyNumberFormat="1" applyFont="1" applyFill="1" applyBorder="1"/>
    <xf numFmtId="44" fontId="35" fillId="20" borderId="5" xfId="4" applyFont="1" applyFill="1" applyBorder="1"/>
    <xf numFmtId="44" fontId="34" fillId="0" borderId="31" xfId="160" applyFont="1" applyFill="1" applyBorder="1"/>
    <xf numFmtId="44" fontId="35" fillId="0" borderId="38" xfId="160" applyFont="1" applyBorder="1"/>
    <xf numFmtId="44" fontId="35" fillId="0" borderId="57" xfId="149" applyFont="1" applyBorder="1"/>
    <xf numFmtId="44" fontId="35" fillId="0" borderId="32" xfId="149" applyFont="1" applyBorder="1"/>
    <xf numFmtId="44" fontId="35" fillId="0" borderId="16" xfId="149" applyFont="1" applyBorder="1"/>
    <xf numFmtId="44" fontId="35" fillId="0" borderId="0" xfId="4" applyFont="1" applyBorder="1"/>
    <xf numFmtId="170" fontId="35" fillId="0" borderId="41" xfId="0" applyFont="1" applyBorder="1"/>
    <xf numFmtId="44" fontId="35" fillId="0" borderId="16" xfId="4" applyFont="1" applyBorder="1"/>
    <xf numFmtId="44" fontId="35" fillId="20" borderId="32" xfId="4" applyFont="1" applyFill="1" applyBorder="1"/>
    <xf numFmtId="44" fontId="35" fillId="0" borderId="33" xfId="4" applyFont="1" applyBorder="1"/>
    <xf numFmtId="44" fontId="35" fillId="0" borderId="41" xfId="0" applyNumberFormat="1" applyFont="1" applyBorder="1"/>
    <xf numFmtId="44" fontId="35" fillId="0" borderId="58" xfId="160" applyFont="1" applyBorder="1"/>
    <xf numFmtId="44" fontId="34" fillId="0" borderId="58" xfId="160" applyFont="1" applyFill="1" applyBorder="1"/>
    <xf numFmtId="165" fontId="34" fillId="0" borderId="12" xfId="0" applyNumberFormat="1" applyFont="1" applyBorder="1"/>
    <xf numFmtId="44" fontId="34" fillId="0" borderId="0" xfId="4" applyFont="1" applyBorder="1"/>
    <xf numFmtId="44" fontId="35" fillId="0" borderId="48" xfId="4" applyFont="1" applyBorder="1" applyAlignment="1">
      <alignment horizontal="right"/>
    </xf>
    <xf numFmtId="165" fontId="35" fillId="0" borderId="12" xfId="176" applyNumberFormat="1" applyFont="1" applyBorder="1"/>
    <xf numFmtId="0" fontId="35" fillId="0" borderId="0" xfId="176" applyNumberFormat="1" applyFont="1" applyAlignment="1">
      <alignment horizontal="center"/>
    </xf>
    <xf numFmtId="44" fontId="35" fillId="0" borderId="16" xfId="160" applyFont="1" applyBorder="1"/>
    <xf numFmtId="44" fontId="34" fillId="17" borderId="16" xfId="4" applyFont="1" applyFill="1" applyBorder="1"/>
    <xf numFmtId="44" fontId="35" fillId="0" borderId="59" xfId="160" applyFont="1" applyBorder="1"/>
    <xf numFmtId="44" fontId="35" fillId="0" borderId="3" xfId="160" applyFont="1" applyBorder="1"/>
    <xf numFmtId="44" fontId="34" fillId="22" borderId="60" xfId="4" applyFont="1" applyFill="1" applyBorder="1" applyAlignment="1">
      <alignment wrapText="1"/>
    </xf>
    <xf numFmtId="44" fontId="34" fillId="0" borderId="0" xfId="4" applyFont="1" applyBorder="1" applyAlignment="1">
      <alignment wrapText="1"/>
    </xf>
    <xf numFmtId="44" fontId="34" fillId="0" borderId="41" xfId="4" applyFont="1" applyBorder="1" applyAlignment="1">
      <alignment wrapText="1"/>
    </xf>
    <xf numFmtId="44" fontId="35" fillId="0" borderId="32" xfId="4" applyFont="1" applyBorder="1" applyAlignment="1">
      <alignment wrapText="1"/>
    </xf>
    <xf numFmtId="44" fontId="35" fillId="0" borderId="20" xfId="4" applyFont="1" applyBorder="1"/>
    <xf numFmtId="165" fontId="4" fillId="3" borderId="17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5" fontId="4" fillId="3" borderId="17" xfId="0" applyNumberFormat="1" applyFont="1" applyFill="1" applyBorder="1" applyAlignment="1">
      <alignment horizontal="left"/>
    </xf>
    <xf numFmtId="165" fontId="4" fillId="3" borderId="2" xfId="0" applyNumberFormat="1" applyFont="1" applyFill="1" applyBorder="1" applyAlignment="1">
      <alignment horizontal="left"/>
    </xf>
  </cellXfs>
  <cellStyles count="345">
    <cellStyle name="Comma" xfId="1" builtinId="3"/>
    <cellStyle name="Comma 2" xfId="2" xr:uid="{00000000-0005-0000-0000-000001000000}"/>
    <cellStyle name="Comma 2 2" xfId="124" xr:uid="{EC992933-BD54-4C56-8DF4-EB0AF099F695}"/>
    <cellStyle name="Comma 2 2 2" xfId="276" xr:uid="{ECF56695-F331-422B-8554-E1255A641048}"/>
    <cellStyle name="Comma 2 3" xfId="206" xr:uid="{8381CF84-F3E3-4D6A-99CC-88FDB0665043}"/>
    <cellStyle name="Comma 3" xfId="123" xr:uid="{A8518D14-46BE-4734-9510-FF2AB74518C6}"/>
    <cellStyle name="Comma 3 2" xfId="275" xr:uid="{1CF2DEE5-B22E-4F6A-AE0D-C647E3EF646D}"/>
    <cellStyle name="Comma 4" xfId="205" xr:uid="{0BC647DB-D770-47C3-8AAD-441FCD716C96}"/>
    <cellStyle name="Comma0 - Style5" xfId="3" xr:uid="{00000000-0005-0000-0000-000002000000}"/>
    <cellStyle name="Currency" xfId="4" builtinId="4"/>
    <cellStyle name="Currency 10" xfId="5" xr:uid="{00000000-0005-0000-0000-000004000000}"/>
    <cellStyle name="Currency 10 2" xfId="126" xr:uid="{449F99ED-0AAC-45BE-880E-23D15354FF02}"/>
    <cellStyle name="Currency 10 2 2" xfId="278" xr:uid="{82948562-473E-4475-96C7-0B7CE3037D31}"/>
    <cellStyle name="Currency 10 3" xfId="208" xr:uid="{165F4557-5DC2-4F6C-980F-77C830E6DE54}"/>
    <cellStyle name="Currency 11" xfId="6" xr:uid="{00000000-0005-0000-0000-000005000000}"/>
    <cellStyle name="Currency 11 2" xfId="127" xr:uid="{C752675A-78E6-4789-91D4-09C5A0B73DA7}"/>
    <cellStyle name="Currency 11 2 2" xfId="279" xr:uid="{18792913-C4DD-44F7-BB09-6ABF92B7C29E}"/>
    <cellStyle name="Currency 11 3" xfId="209" xr:uid="{9338B43E-85C1-41A1-833F-7B3CD4467450}"/>
    <cellStyle name="Currency 12" xfId="7" xr:uid="{00000000-0005-0000-0000-000006000000}"/>
    <cellStyle name="Currency 12 2" xfId="128" xr:uid="{BC5CDF49-F73A-417E-BC2E-CA27D05C93C1}"/>
    <cellStyle name="Currency 12 2 2" xfId="280" xr:uid="{0A124DB0-7657-4D29-8CF1-785ECD347BB7}"/>
    <cellStyle name="Currency 12 3" xfId="210" xr:uid="{ED590CC2-26E3-4F55-908F-3FF23A8EF0ED}"/>
    <cellStyle name="Currency 13" xfId="8" xr:uid="{00000000-0005-0000-0000-000007000000}"/>
    <cellStyle name="Currency 13 2" xfId="129" xr:uid="{3FD71582-3BFC-499B-B179-5F170788CCD5}"/>
    <cellStyle name="Currency 13 2 2" xfId="281" xr:uid="{D75DF9C8-E1BC-433C-A28A-6ACD81158441}"/>
    <cellStyle name="Currency 13 3" xfId="211" xr:uid="{1D4477E2-B4C6-4C4E-8DA7-0EF3207819F4}"/>
    <cellStyle name="Currency 14" xfId="9" xr:uid="{00000000-0005-0000-0000-000008000000}"/>
    <cellStyle name="Currency 14 2" xfId="130" xr:uid="{4CFED757-4EE0-49FC-9B60-78DE9B42FC09}"/>
    <cellStyle name="Currency 14 2 2" xfId="282" xr:uid="{542C4BE0-D644-4B4F-B067-A195E94CA7EE}"/>
    <cellStyle name="Currency 14 3" xfId="212" xr:uid="{9F61DACB-B423-4398-A148-E6F370DF6307}"/>
    <cellStyle name="Currency 15" xfId="10" xr:uid="{00000000-0005-0000-0000-000009000000}"/>
    <cellStyle name="Currency 15 2" xfId="131" xr:uid="{55E251ED-A5CE-4391-B546-C1AAF02773B5}"/>
    <cellStyle name="Currency 15 2 2" xfId="283" xr:uid="{14C2B87B-5F61-4CA0-AC85-9A1139ED7A2B}"/>
    <cellStyle name="Currency 15 3" xfId="213" xr:uid="{38A31D30-1280-4A2F-BF8B-7E8F7B8CDE79}"/>
    <cellStyle name="Currency 16" xfId="11" xr:uid="{00000000-0005-0000-0000-00000A000000}"/>
    <cellStyle name="Currency 16 2" xfId="132" xr:uid="{B20524DA-78CD-44AE-9570-D06E81239B35}"/>
    <cellStyle name="Currency 16 2 2" xfId="284" xr:uid="{8889E470-6E4C-47EB-96A3-9393878A47F0}"/>
    <cellStyle name="Currency 16 3" xfId="214" xr:uid="{11FE07E7-D089-455C-BD90-1EF1516A7912}"/>
    <cellStyle name="Currency 17" xfId="12" xr:uid="{00000000-0005-0000-0000-00000B000000}"/>
    <cellStyle name="Currency 17 2" xfId="133" xr:uid="{DD515E04-D5B4-4492-B27C-2A50A74F32AF}"/>
    <cellStyle name="Currency 17 2 2" xfId="285" xr:uid="{69310058-115D-4ADF-BCA0-110FA4CCE84D}"/>
    <cellStyle name="Currency 17 3" xfId="215" xr:uid="{4AB7893C-0941-414F-B512-A2FD0038BFA4}"/>
    <cellStyle name="Currency 18" xfId="13" xr:uid="{00000000-0005-0000-0000-00000C000000}"/>
    <cellStyle name="Currency 18 2" xfId="134" xr:uid="{86EB363C-EDA2-4475-B41D-92C1D2C0BF11}"/>
    <cellStyle name="Currency 18 2 2" xfId="286" xr:uid="{E231BFFA-00D9-4DFD-A118-E82A5CC18C5D}"/>
    <cellStyle name="Currency 18 3" xfId="216" xr:uid="{DC70E1EF-348C-47F2-8A6A-3F71AB560FD3}"/>
    <cellStyle name="Currency 19" xfId="14" xr:uid="{00000000-0005-0000-0000-00000D000000}"/>
    <cellStyle name="Currency 19 2" xfId="135" xr:uid="{33B922E4-3BBC-416F-88B2-6C8D811A9A7A}"/>
    <cellStyle name="Currency 19 2 2" xfId="287" xr:uid="{DA6D487B-058D-4DB6-BE6F-50A02D760D9C}"/>
    <cellStyle name="Currency 19 3" xfId="217" xr:uid="{88F6E10C-3D90-4C23-A4BF-E7F9EF69AC0E}"/>
    <cellStyle name="Currency 2" xfId="15" xr:uid="{00000000-0005-0000-0000-00000E000000}"/>
    <cellStyle name="Currency 2 2" xfId="136" xr:uid="{3297D4EF-FA5B-4179-A409-EEBFE02A236A}"/>
    <cellStyle name="Currency 2 2 2" xfId="288" xr:uid="{ACD85199-83DC-441C-B3DC-DF6AC435F539}"/>
    <cellStyle name="Currency 2 3" xfId="218" xr:uid="{31E6B569-C5C3-41F5-82A1-97DF9952145D}"/>
    <cellStyle name="Currency 20" xfId="207" xr:uid="{DEB4D816-5289-4E00-96F4-DC17691BD704}"/>
    <cellStyle name="Currency 3" xfId="125" xr:uid="{F8B0E3BD-75FF-43EF-B360-334812684FE8}"/>
    <cellStyle name="Currency 3 10" xfId="16" xr:uid="{00000000-0005-0000-0000-00000F000000}"/>
    <cellStyle name="Currency 3 10 2" xfId="137" xr:uid="{00996D33-75C7-4BEF-BA99-1A05F24F8F60}"/>
    <cellStyle name="Currency 3 10 2 2" xfId="289" xr:uid="{020AC095-0349-4C29-957E-44C0060315A4}"/>
    <cellStyle name="Currency 3 10 3" xfId="219" xr:uid="{0663DDA6-7DCC-48B2-AE7D-15D2C6B26A97}"/>
    <cellStyle name="Currency 3 11" xfId="17" xr:uid="{00000000-0005-0000-0000-000010000000}"/>
    <cellStyle name="Currency 3 11 2" xfId="138" xr:uid="{B00AE092-10AA-4830-88C3-EE902871DB8F}"/>
    <cellStyle name="Currency 3 11 2 2" xfId="290" xr:uid="{83F7F9A8-41BB-42F9-9D76-81BA52CCA0F2}"/>
    <cellStyle name="Currency 3 11 3" xfId="220" xr:uid="{CFAF3E2D-6979-4A91-AFF2-A7766CA7367E}"/>
    <cellStyle name="Currency 3 12" xfId="18" xr:uid="{00000000-0005-0000-0000-000011000000}"/>
    <cellStyle name="Currency 3 12 2" xfId="139" xr:uid="{6557096F-7812-4E10-84E2-23CAB1A5C19F}"/>
    <cellStyle name="Currency 3 12 2 2" xfId="291" xr:uid="{FCC8E717-C1D7-4C5C-A91B-15899DD42C4C}"/>
    <cellStyle name="Currency 3 12 3" xfId="221" xr:uid="{3C8A28E3-60FB-4178-B94E-5E8315C97EFB}"/>
    <cellStyle name="Currency 3 13" xfId="277" xr:uid="{951124BA-6C26-4423-9A5A-91DC36A62B93}"/>
    <cellStyle name="Currency 3 2" xfId="19" xr:uid="{00000000-0005-0000-0000-000012000000}"/>
    <cellStyle name="Currency 3 2 2" xfId="140" xr:uid="{C7BA0FE8-953B-4DE9-B4D9-D70993436EB0}"/>
    <cellStyle name="Currency 3 2 2 2" xfId="292" xr:uid="{F689F316-545D-4B9C-9F90-0A3BD079FA79}"/>
    <cellStyle name="Currency 3 2 3" xfId="222" xr:uid="{38223D87-39F1-4D78-AFC7-D62B2B75A40A}"/>
    <cellStyle name="Currency 3 3" xfId="20" xr:uid="{00000000-0005-0000-0000-000013000000}"/>
    <cellStyle name="Currency 3 3 2" xfId="141" xr:uid="{B602B6E0-6451-4360-BCFB-AEF90884E23A}"/>
    <cellStyle name="Currency 3 3 2 2" xfId="293" xr:uid="{341FD5FB-0E3F-41FC-998F-D96C91647B70}"/>
    <cellStyle name="Currency 3 3 3" xfId="223" xr:uid="{5BD9FDF0-905A-439D-9D48-99DECF8B0960}"/>
    <cellStyle name="Currency 3 4" xfId="21" xr:uid="{00000000-0005-0000-0000-000014000000}"/>
    <cellStyle name="Currency 3 4 2" xfId="142" xr:uid="{73AE174D-095B-45F0-8450-EAA635928F86}"/>
    <cellStyle name="Currency 3 4 2 2" xfId="294" xr:uid="{5C4D3561-6F0D-442D-BE96-5D0A6247BEC7}"/>
    <cellStyle name="Currency 3 4 3" xfId="224" xr:uid="{EB5167CE-DA4F-4665-A60B-F33163E8BD0D}"/>
    <cellStyle name="Currency 3 5" xfId="22" xr:uid="{00000000-0005-0000-0000-000015000000}"/>
    <cellStyle name="Currency 3 5 2" xfId="143" xr:uid="{D4021DFE-345C-4F41-850A-238714ECADCA}"/>
    <cellStyle name="Currency 3 5 2 2" xfId="295" xr:uid="{64FC3FDB-75C7-413B-96AB-23DDC2C06C0E}"/>
    <cellStyle name="Currency 3 5 3" xfId="225" xr:uid="{F6E28C2E-8255-446E-A90B-9ED9CFDF61E2}"/>
    <cellStyle name="Currency 3 6" xfId="23" xr:uid="{00000000-0005-0000-0000-000016000000}"/>
    <cellStyle name="Currency 3 6 2" xfId="144" xr:uid="{36494DAA-92E4-4C9D-82A2-C99829633EF1}"/>
    <cellStyle name="Currency 3 6 2 2" xfId="296" xr:uid="{664E72C1-2973-4BC8-86C3-4413C312496E}"/>
    <cellStyle name="Currency 3 6 3" xfId="226" xr:uid="{32A9E76A-616B-43FB-A175-FAD399CA4A0A}"/>
    <cellStyle name="Currency 3 7" xfId="24" xr:uid="{00000000-0005-0000-0000-000017000000}"/>
    <cellStyle name="Currency 3 7 2" xfId="145" xr:uid="{552EE259-E302-40B9-972A-5D12934CBD61}"/>
    <cellStyle name="Currency 3 7 2 2" xfId="297" xr:uid="{A1169103-6A8E-468F-A7C3-826846931AE9}"/>
    <cellStyle name="Currency 3 7 3" xfId="227" xr:uid="{AE1E1A84-2CA5-4A4F-80AE-F748049DEE9E}"/>
    <cellStyle name="Currency 3 8" xfId="25" xr:uid="{00000000-0005-0000-0000-000018000000}"/>
    <cellStyle name="Currency 3 8 2" xfId="146" xr:uid="{998CD594-0EF3-4DB3-9CE2-2010A42ADD55}"/>
    <cellStyle name="Currency 3 8 2 2" xfId="298" xr:uid="{E9384A9D-5C47-479D-B98F-12AA702CD73F}"/>
    <cellStyle name="Currency 3 8 3" xfId="228" xr:uid="{DE93ADE7-CDED-4100-92D0-B3924D5C8E39}"/>
    <cellStyle name="Currency 3 9" xfId="26" xr:uid="{00000000-0005-0000-0000-000019000000}"/>
    <cellStyle name="Currency 3 9 2" xfId="147" xr:uid="{024CD82F-4ED7-4472-90AB-4F341BDB092F}"/>
    <cellStyle name="Currency 3 9 2 2" xfId="299" xr:uid="{ABA3CAD0-A6EB-4019-B263-DEDD219E34FB}"/>
    <cellStyle name="Currency 3 9 3" xfId="229" xr:uid="{EDC8CD94-5BE7-4426-BF27-FA2AF9FBD1E8}"/>
    <cellStyle name="Currency 4" xfId="27" xr:uid="{00000000-0005-0000-0000-00001A000000}"/>
    <cellStyle name="Currency 4 10" xfId="28" xr:uid="{00000000-0005-0000-0000-00001B000000}"/>
    <cellStyle name="Currency 4 10 2" xfId="149" xr:uid="{0D1728B4-2834-4A24-9F30-A0489E89D576}"/>
    <cellStyle name="Currency 4 10 2 2" xfId="301" xr:uid="{FF68C97C-3292-467A-9A3F-F96A6459CD31}"/>
    <cellStyle name="Currency 4 10 3" xfId="231" xr:uid="{F8478721-E352-44CC-810C-B0DA6318AAD0}"/>
    <cellStyle name="Currency 4 11" xfId="29" xr:uid="{00000000-0005-0000-0000-00001C000000}"/>
    <cellStyle name="Currency 4 11 2" xfId="150" xr:uid="{85CAE1B3-9548-451A-813D-729A641449D3}"/>
    <cellStyle name="Currency 4 11 2 2" xfId="302" xr:uid="{418093E1-ADBC-4307-A802-A2BC0387D56B}"/>
    <cellStyle name="Currency 4 11 3" xfId="232" xr:uid="{C227DFBD-52BF-4A41-885E-3885E59D5D23}"/>
    <cellStyle name="Currency 4 12" xfId="30" xr:uid="{00000000-0005-0000-0000-00001D000000}"/>
    <cellStyle name="Currency 4 12 2" xfId="151" xr:uid="{6B62CD00-8144-4186-B27A-B452A7396E2D}"/>
    <cellStyle name="Currency 4 12 2 2" xfId="303" xr:uid="{DBC49292-82CA-4E1F-96DB-B31ED4E7688D}"/>
    <cellStyle name="Currency 4 12 3" xfId="233" xr:uid="{F6FDA086-518E-42E5-96EF-6E2B0E8FFA97}"/>
    <cellStyle name="Currency 4 13" xfId="148" xr:uid="{4DFB6661-4DAA-4D0B-BF23-17907C105640}"/>
    <cellStyle name="Currency 4 13 2" xfId="300" xr:uid="{D2D3E29C-DEB0-40E5-B55B-78BCF70AC7FA}"/>
    <cellStyle name="Currency 4 14" xfId="230" xr:uid="{51A1D83D-EBF3-4C1A-93BF-3AF886A922D3}"/>
    <cellStyle name="Currency 4 2" xfId="31" xr:uid="{00000000-0005-0000-0000-00001E000000}"/>
    <cellStyle name="Currency 4 2 2" xfId="152" xr:uid="{76198718-AD34-4D59-A57A-0FAD169B1567}"/>
    <cellStyle name="Currency 4 2 2 2" xfId="304" xr:uid="{E5CE973D-A1DC-4377-8678-6A3CF5C266AC}"/>
    <cellStyle name="Currency 4 2 3" xfId="234" xr:uid="{79F84E53-0D1D-4FE9-ABB8-862972586B13}"/>
    <cellStyle name="Currency 4 3" xfId="32" xr:uid="{00000000-0005-0000-0000-00001F000000}"/>
    <cellStyle name="Currency 4 3 2" xfId="153" xr:uid="{3D4B4530-6AE2-404C-A969-AF9D13B09B54}"/>
    <cellStyle name="Currency 4 3 2 2" xfId="305" xr:uid="{3C59195A-3101-4EB9-AFB3-15E456301CD2}"/>
    <cellStyle name="Currency 4 3 3" xfId="235" xr:uid="{972C2035-60CA-4678-913D-4C3D6944057E}"/>
    <cellStyle name="Currency 4 4" xfId="33" xr:uid="{00000000-0005-0000-0000-000020000000}"/>
    <cellStyle name="Currency 4 4 2" xfId="154" xr:uid="{997B4688-CE11-4BE8-A541-99D83547C466}"/>
    <cellStyle name="Currency 4 4 2 2" xfId="306" xr:uid="{4CA6E039-7207-49AB-80DF-9C3C95AFB29B}"/>
    <cellStyle name="Currency 4 4 3" xfId="236" xr:uid="{D82F516B-4B19-451C-9C5D-8BA47B4954B7}"/>
    <cellStyle name="Currency 4 5" xfId="34" xr:uid="{00000000-0005-0000-0000-000021000000}"/>
    <cellStyle name="Currency 4 5 2" xfId="155" xr:uid="{86647034-5CC0-4E24-BCFE-374B81EE2495}"/>
    <cellStyle name="Currency 4 5 2 2" xfId="307" xr:uid="{439ED5C8-A244-42BC-B6A5-AFC32B181FDA}"/>
    <cellStyle name="Currency 4 5 3" xfId="237" xr:uid="{B77B63FA-26AF-4774-A810-1C7C6E05828B}"/>
    <cellStyle name="Currency 4 6" xfId="35" xr:uid="{00000000-0005-0000-0000-000022000000}"/>
    <cellStyle name="Currency 4 6 2" xfId="156" xr:uid="{C69E529D-4C1C-4EF1-82A5-A27E1767D948}"/>
    <cellStyle name="Currency 4 6 2 2" xfId="308" xr:uid="{067D8DD6-E651-4437-A5AA-A4B0F04E6A13}"/>
    <cellStyle name="Currency 4 6 3" xfId="238" xr:uid="{E803058F-D9BD-4FDF-90AB-9C440F713766}"/>
    <cellStyle name="Currency 4 7" xfId="36" xr:uid="{00000000-0005-0000-0000-000023000000}"/>
    <cellStyle name="Currency 4 7 2" xfId="157" xr:uid="{F24071CF-BF9F-4022-93C3-28D02FCC29E6}"/>
    <cellStyle name="Currency 4 7 2 2" xfId="309" xr:uid="{69D84C6A-F852-4B78-8FF5-432ADE51F54B}"/>
    <cellStyle name="Currency 4 7 3" xfId="239" xr:uid="{D1D8F8CE-A61C-4999-BDEB-6571552DE0C3}"/>
    <cellStyle name="Currency 4 8" xfId="37" xr:uid="{00000000-0005-0000-0000-000024000000}"/>
    <cellStyle name="Currency 4 8 2" xfId="158" xr:uid="{9D5068B5-E9DD-407D-9F8A-ACF61F4D6AB6}"/>
    <cellStyle name="Currency 4 8 2 2" xfId="310" xr:uid="{F9796909-C9B5-4528-9169-529BAAD5D344}"/>
    <cellStyle name="Currency 4 8 3" xfId="240" xr:uid="{7B1D0830-85C1-447D-8F20-BA16213768A7}"/>
    <cellStyle name="Currency 4 9" xfId="38" xr:uid="{00000000-0005-0000-0000-000025000000}"/>
    <cellStyle name="Currency 4 9 2" xfId="159" xr:uid="{378BFCF2-1205-46AA-9EC2-5E643B3E1BAF}"/>
    <cellStyle name="Currency 4 9 2 2" xfId="311" xr:uid="{3CDAE638-DA7C-4858-88F3-5F9B6DCAC762}"/>
    <cellStyle name="Currency 4 9 3" xfId="241" xr:uid="{3964A612-4ED6-4D13-87E1-77A4AE35DAA6}"/>
    <cellStyle name="Currency 5" xfId="39" xr:uid="{00000000-0005-0000-0000-000026000000}"/>
    <cellStyle name="Currency 5 2" xfId="160" xr:uid="{1717A22C-B792-4BC4-A16C-657D42027FEC}"/>
    <cellStyle name="Currency 5 2 2" xfId="312" xr:uid="{7E7B96DC-966D-4D74-B48A-AAA823C00BD6}"/>
    <cellStyle name="Currency 5 3" xfId="242" xr:uid="{A85865E6-23EE-4C3F-851E-6B91212931ED}"/>
    <cellStyle name="Currency 6" xfId="40" xr:uid="{00000000-0005-0000-0000-000027000000}"/>
    <cellStyle name="Currency 6 2" xfId="161" xr:uid="{899FA49F-1F5B-4F55-89C6-618A7912C7C5}"/>
    <cellStyle name="Currency 6 2 2" xfId="313" xr:uid="{172DD37C-77E4-4119-B629-BDFD3FC53E19}"/>
    <cellStyle name="Currency 6 3" xfId="243" xr:uid="{18E6F916-4EF0-4921-86A6-BE858D0038B3}"/>
    <cellStyle name="Currency 7" xfId="41" xr:uid="{00000000-0005-0000-0000-000028000000}"/>
    <cellStyle name="Currency 7 2" xfId="162" xr:uid="{6C542E0F-9124-411B-8C07-5C6EEA05EF0D}"/>
    <cellStyle name="Currency 7 2 2" xfId="314" xr:uid="{FFFA8B7A-264D-4149-BE8C-826D039B1263}"/>
    <cellStyle name="Currency 7 3" xfId="244" xr:uid="{228B80EC-42A5-4CD2-8B06-110B97738E6F}"/>
    <cellStyle name="Currency 8" xfId="42" xr:uid="{00000000-0005-0000-0000-000029000000}"/>
    <cellStyle name="Currency 8 10" xfId="43" xr:uid="{00000000-0005-0000-0000-00002A000000}"/>
    <cellStyle name="Currency 8 10 2" xfId="164" xr:uid="{D5CD110D-0CA6-4640-A71E-AF3E8752BD83}"/>
    <cellStyle name="Currency 8 10 2 2" xfId="316" xr:uid="{06DB4575-D654-4FE1-9DC1-439062ACAA29}"/>
    <cellStyle name="Currency 8 10 3" xfId="246" xr:uid="{CF8AFADA-CEE0-4066-A2AC-92E9F8A551A2}"/>
    <cellStyle name="Currency 8 11" xfId="44" xr:uid="{00000000-0005-0000-0000-00002B000000}"/>
    <cellStyle name="Currency 8 11 2" xfId="165" xr:uid="{913ED3F4-850B-410D-9A82-86D33AA9CF2E}"/>
    <cellStyle name="Currency 8 11 2 2" xfId="317" xr:uid="{4EF533DF-D27C-4073-9370-6E338C2216D0}"/>
    <cellStyle name="Currency 8 11 3" xfId="247" xr:uid="{8EB42831-40A2-49CA-A35C-90E19BE92DBF}"/>
    <cellStyle name="Currency 8 12" xfId="45" xr:uid="{00000000-0005-0000-0000-00002C000000}"/>
    <cellStyle name="Currency 8 12 2" xfId="166" xr:uid="{25893668-D09E-46C0-AE46-4E68663865B7}"/>
    <cellStyle name="Currency 8 12 2 2" xfId="318" xr:uid="{9EE1B2CA-081F-428F-A3D9-CF0DC15B2EEE}"/>
    <cellStyle name="Currency 8 12 3" xfId="248" xr:uid="{2CA8D274-A306-4E63-A0E0-92FE62030D22}"/>
    <cellStyle name="Currency 8 13" xfId="163" xr:uid="{AF86F90C-36C9-4C64-8633-07DBB3971C33}"/>
    <cellStyle name="Currency 8 13 2" xfId="315" xr:uid="{7D1E8623-23C1-4D79-A2B2-B336DF399EA5}"/>
    <cellStyle name="Currency 8 14" xfId="245" xr:uid="{48AF278F-0474-4D72-B75A-9D1FC44C0031}"/>
    <cellStyle name="Currency 8 2" xfId="46" xr:uid="{00000000-0005-0000-0000-00002D000000}"/>
    <cellStyle name="Currency 8 2 2" xfId="167" xr:uid="{5943198D-885F-4EBC-BDFA-DC60083D25FC}"/>
    <cellStyle name="Currency 8 2 2 2" xfId="319" xr:uid="{284AE907-F88B-4B5B-A2D6-37D8A5D5E835}"/>
    <cellStyle name="Currency 8 2 3" xfId="249" xr:uid="{4CC479D4-8FB5-4B84-BA87-333BE978762A}"/>
    <cellStyle name="Currency 8 3" xfId="47" xr:uid="{00000000-0005-0000-0000-00002E000000}"/>
    <cellStyle name="Currency 8 3 2" xfId="168" xr:uid="{CE59CD19-B929-40BE-90A5-EEDD932BAD73}"/>
    <cellStyle name="Currency 8 3 2 2" xfId="320" xr:uid="{13E3E11E-E6EC-42BF-8EB8-EF86612FC550}"/>
    <cellStyle name="Currency 8 3 3" xfId="250" xr:uid="{26B71860-4B7E-4693-B325-7D3E1420E9D4}"/>
    <cellStyle name="Currency 8 4" xfId="48" xr:uid="{00000000-0005-0000-0000-00002F000000}"/>
    <cellStyle name="Currency 8 4 2" xfId="169" xr:uid="{626E2B14-EF47-4288-AABD-C8FEB5882E11}"/>
    <cellStyle name="Currency 8 4 2 2" xfId="321" xr:uid="{1ADF3DC0-2766-4080-BFC4-4AFE2A305219}"/>
    <cellStyle name="Currency 8 4 3" xfId="251" xr:uid="{5CADCD0E-EC13-4C5B-A1D6-96E00468A5C7}"/>
    <cellStyle name="Currency 8 5" xfId="49" xr:uid="{00000000-0005-0000-0000-000030000000}"/>
    <cellStyle name="Currency 8 5 2" xfId="170" xr:uid="{CE848A6B-254C-4F13-BC5A-84F685D9A56A}"/>
    <cellStyle name="Currency 8 5 2 2" xfId="322" xr:uid="{E4F931D2-BF0A-45D0-99FD-7E31B65A5F9E}"/>
    <cellStyle name="Currency 8 5 3" xfId="252" xr:uid="{25E9B9D7-D9AA-48E2-B485-F0A8CF160896}"/>
    <cellStyle name="Currency 8 6" xfId="50" xr:uid="{00000000-0005-0000-0000-000031000000}"/>
    <cellStyle name="Currency 8 6 2" xfId="171" xr:uid="{4AEFE8B4-6B00-4EF4-9B38-10BDAEEAB56D}"/>
    <cellStyle name="Currency 8 6 2 2" xfId="323" xr:uid="{791386E1-5092-4B66-A874-9073DA5B3938}"/>
    <cellStyle name="Currency 8 6 3" xfId="253" xr:uid="{2D278F45-2AC6-45C3-9377-B9C5422DE8FC}"/>
    <cellStyle name="Currency 8 7" xfId="51" xr:uid="{00000000-0005-0000-0000-000032000000}"/>
    <cellStyle name="Currency 8 7 2" xfId="172" xr:uid="{CD36FD6D-51E9-4261-A7EC-A44EF538C662}"/>
    <cellStyle name="Currency 8 7 2 2" xfId="324" xr:uid="{EEB9ED33-F7CB-4B07-BDE9-2081E0D44375}"/>
    <cellStyle name="Currency 8 7 3" xfId="254" xr:uid="{0EE2204B-1605-4B73-A3B3-931C04A0F632}"/>
    <cellStyle name="Currency 8 8" xfId="52" xr:uid="{00000000-0005-0000-0000-000033000000}"/>
    <cellStyle name="Currency 8 8 2" xfId="173" xr:uid="{AB10E672-FDC9-4B13-9C53-FA364A57251B}"/>
    <cellStyle name="Currency 8 8 2 2" xfId="325" xr:uid="{6C296705-EDFF-4BFC-9108-AB454942C62F}"/>
    <cellStyle name="Currency 8 8 3" xfId="255" xr:uid="{7119E07D-9AE1-4A3E-B77B-44C397B4327C}"/>
    <cellStyle name="Currency 8 9" xfId="53" xr:uid="{00000000-0005-0000-0000-000034000000}"/>
    <cellStyle name="Currency 8 9 2" xfId="174" xr:uid="{3858440E-7E83-479E-9F28-03CF4AD238D1}"/>
    <cellStyle name="Currency 8 9 2 2" xfId="326" xr:uid="{E1E0759C-71F5-4FEB-B4A0-D6A8A479942C}"/>
    <cellStyle name="Currency 8 9 3" xfId="256" xr:uid="{52CCA048-5001-4CC3-8296-D9CBEA13541B}"/>
    <cellStyle name="Currency 9" xfId="54" xr:uid="{00000000-0005-0000-0000-000035000000}"/>
    <cellStyle name="Currency 9 2" xfId="175" xr:uid="{3F9CFC8D-E16D-4809-B2C2-5B3ED22D2486}"/>
    <cellStyle name="Currency 9 2 2" xfId="327" xr:uid="{08D19918-A645-4E86-8516-834800B5FD6C}"/>
    <cellStyle name="Currency 9 3" xfId="257" xr:uid="{68D049E9-1A35-4B09-A68F-990AD999F666}"/>
    <cellStyle name="Normal" xfId="0" builtinId="0"/>
    <cellStyle name="Normal 2" xfId="55" xr:uid="{00000000-0005-0000-0000-000037000000}"/>
    <cellStyle name="Normal 2 10" xfId="56" xr:uid="{00000000-0005-0000-0000-000038000000}"/>
    <cellStyle name="Normal 2 10 2" xfId="176" xr:uid="{A5DF39A9-18B4-40F3-B4B9-A2A3E859CBC3}"/>
    <cellStyle name="Normal 2 11" xfId="57" xr:uid="{00000000-0005-0000-0000-000039000000}"/>
    <cellStyle name="Normal 2 11 2" xfId="177" xr:uid="{7F81395D-E746-4570-97D1-03BC0CC8BA25}"/>
    <cellStyle name="Normal 2 12" xfId="58" xr:uid="{00000000-0005-0000-0000-00003A000000}"/>
    <cellStyle name="Normal 2 12 2" xfId="178" xr:uid="{AA9E636F-00CD-4941-9271-85D50DBDC3A6}"/>
    <cellStyle name="Normal 2 13" xfId="59" xr:uid="{00000000-0005-0000-0000-00003B000000}"/>
    <cellStyle name="Normal 2 13 2" xfId="179" xr:uid="{76603A0F-7C62-485E-81D4-7F84A7022523}"/>
    <cellStyle name="Normal 2 14" xfId="60" xr:uid="{00000000-0005-0000-0000-00003C000000}"/>
    <cellStyle name="Normal 2 14 2" xfId="180" xr:uid="{92963C88-3303-458C-8D36-6094D591B1CE}"/>
    <cellStyle name="Normal 2 15" xfId="61" xr:uid="{00000000-0005-0000-0000-00003D000000}"/>
    <cellStyle name="Normal 2 15 2" xfId="181" xr:uid="{5EF92E0F-FACD-4F0C-9B62-F0834FA44D3A}"/>
    <cellStyle name="Normal 2 16" xfId="62" xr:uid="{00000000-0005-0000-0000-00003E000000}"/>
    <cellStyle name="Normal 2 16 2" xfId="182" xr:uid="{686AC8D6-1B1F-4C9A-BF48-83815EAD7703}"/>
    <cellStyle name="Normal 2 17" xfId="63" xr:uid="{00000000-0005-0000-0000-00003F000000}"/>
    <cellStyle name="Normal 2 17 2" xfId="183" xr:uid="{59FD711F-B68C-4AC1-85AC-9B20824F3A5F}"/>
    <cellStyle name="Normal 2 18" xfId="64" xr:uid="{00000000-0005-0000-0000-000040000000}"/>
    <cellStyle name="Normal 2 18 2" xfId="184" xr:uid="{75C87777-51C8-4F30-8473-04CBB55750D3}"/>
    <cellStyle name="Normal 2 19" xfId="65" xr:uid="{00000000-0005-0000-0000-000041000000}"/>
    <cellStyle name="Normal 2 19 2" xfId="185" xr:uid="{56E951FD-BC35-44F1-9A78-D4FBB57C14A0}"/>
    <cellStyle name="Normal 2 2" xfId="66" xr:uid="{00000000-0005-0000-0000-000042000000}"/>
    <cellStyle name="Normal 2 2 10" xfId="67" xr:uid="{00000000-0005-0000-0000-000043000000}"/>
    <cellStyle name="Normal 2 2 11" xfId="68" xr:uid="{00000000-0005-0000-0000-000044000000}"/>
    <cellStyle name="Normal 2 2 12" xfId="69" xr:uid="{00000000-0005-0000-0000-000045000000}"/>
    <cellStyle name="Normal 2 2 13" xfId="186" xr:uid="{DA4FDBA0-FE9B-4941-8F29-CC84596139D3}"/>
    <cellStyle name="Normal 2 2 2" xfId="70" xr:uid="{00000000-0005-0000-0000-000046000000}"/>
    <cellStyle name="Normal 2 2 3" xfId="71" xr:uid="{00000000-0005-0000-0000-000047000000}"/>
    <cellStyle name="Normal 2 2 4" xfId="72" xr:uid="{00000000-0005-0000-0000-000048000000}"/>
    <cellStyle name="Normal 2 2 5" xfId="73" xr:uid="{00000000-0005-0000-0000-000049000000}"/>
    <cellStyle name="Normal 2 2 6" xfId="74" xr:uid="{00000000-0005-0000-0000-00004A000000}"/>
    <cellStyle name="Normal 2 2 7" xfId="75" xr:uid="{00000000-0005-0000-0000-00004B000000}"/>
    <cellStyle name="Normal 2 2 8" xfId="76" xr:uid="{00000000-0005-0000-0000-00004C000000}"/>
    <cellStyle name="Normal 2 2 9" xfId="77" xr:uid="{00000000-0005-0000-0000-00004D000000}"/>
    <cellStyle name="Normal 2 20" xfId="78" xr:uid="{00000000-0005-0000-0000-00004E000000}"/>
    <cellStyle name="Normal 2 20 2" xfId="187" xr:uid="{309F6961-1E75-497F-B1BF-98F7335098EA}"/>
    <cellStyle name="Normal 2 20 2 2" xfId="328" xr:uid="{9F4095C0-80B7-42A1-9D05-BDEA1BC36173}"/>
    <cellStyle name="Normal 2 20 3" xfId="258" xr:uid="{9ABFB768-2613-4F7F-9215-ED92D336E96E}"/>
    <cellStyle name="Normal 2 21" xfId="79" xr:uid="{00000000-0005-0000-0000-00004F000000}"/>
    <cellStyle name="Normal 2 21 2" xfId="188" xr:uid="{DD4790B4-09C9-4679-A016-BBD11239CA55}"/>
    <cellStyle name="Normal 2 21 2 2" xfId="329" xr:uid="{928E7B0D-949C-49DA-8E24-54802B7CDAD6}"/>
    <cellStyle name="Normal 2 21 3" xfId="259" xr:uid="{026DA876-ED78-4DE2-8450-D021B793B091}"/>
    <cellStyle name="Normal 2 3" xfId="80" xr:uid="{00000000-0005-0000-0000-000050000000}"/>
    <cellStyle name="Normal 2 4" xfId="81" xr:uid="{00000000-0005-0000-0000-000051000000}"/>
    <cellStyle name="Normal 2 5" xfId="82" xr:uid="{00000000-0005-0000-0000-000052000000}"/>
    <cellStyle name="Normal 2 6" xfId="83" xr:uid="{00000000-0005-0000-0000-000053000000}"/>
    <cellStyle name="Normal 2 7" xfId="84" xr:uid="{00000000-0005-0000-0000-000054000000}"/>
    <cellStyle name="Normal 2 8" xfId="85" xr:uid="{00000000-0005-0000-0000-000055000000}"/>
    <cellStyle name="Normal 2 9" xfId="86" xr:uid="{00000000-0005-0000-0000-000056000000}"/>
    <cellStyle name="Normal 3" xfId="87" xr:uid="{00000000-0005-0000-0000-000057000000}"/>
    <cellStyle name="Normal 3 10" xfId="88" xr:uid="{00000000-0005-0000-0000-000058000000}"/>
    <cellStyle name="Normal 3 10 2" xfId="189" xr:uid="{D4378AB4-A024-4CD5-8608-E09A7FE7F82F}"/>
    <cellStyle name="Normal 3 10 2 2" xfId="330" xr:uid="{7E05BE00-DF9C-4CB1-B63C-F9C58614DAB3}"/>
    <cellStyle name="Normal 3 10 3" xfId="260" xr:uid="{E51D885B-E015-4392-8169-12BA8725B378}"/>
    <cellStyle name="Normal 3 11" xfId="89" xr:uid="{00000000-0005-0000-0000-000059000000}"/>
    <cellStyle name="Normal 3 11 2" xfId="190" xr:uid="{39969A07-E415-4C19-AC03-E68816AD4C8A}"/>
    <cellStyle name="Normal 3 11 2 2" xfId="331" xr:uid="{A9CC6861-D88F-4628-A6D2-E39B28BE026B}"/>
    <cellStyle name="Normal 3 11 3" xfId="261" xr:uid="{8A8F5310-6524-442E-BCEA-79E8AE2DCB2E}"/>
    <cellStyle name="Normal 3 12" xfId="90" xr:uid="{00000000-0005-0000-0000-00005A000000}"/>
    <cellStyle name="Normal 3 12 2" xfId="191" xr:uid="{720C14BC-C41B-4B1E-BE2B-59CF5AF3E3C0}"/>
    <cellStyle name="Normal 3 12 2 2" xfId="332" xr:uid="{8C73AE5A-F7CF-44FD-8B21-2571E7936134}"/>
    <cellStyle name="Normal 3 12 3" xfId="262" xr:uid="{E7FFF7DB-611F-4C52-B499-7966AD7BC6C3}"/>
    <cellStyle name="Normal 3 13" xfId="91" xr:uid="{00000000-0005-0000-0000-00005B000000}"/>
    <cellStyle name="Normal 3 13 2" xfId="192" xr:uid="{6E2AA97E-D9A9-47DF-82AA-F4E4E400FF20}"/>
    <cellStyle name="Normal 3 13 2 2" xfId="333" xr:uid="{470AEFC8-81B8-474E-9076-8D67BA3ED0F3}"/>
    <cellStyle name="Normal 3 13 3" xfId="263" xr:uid="{1184BBBF-2AD1-451B-932E-484727524EED}"/>
    <cellStyle name="Normal 3 14" xfId="92" xr:uid="{00000000-0005-0000-0000-00005C000000}"/>
    <cellStyle name="Normal 3 14 2" xfId="193" xr:uid="{92994A93-88AD-4689-9A38-EA17FAA40BCF}"/>
    <cellStyle name="Normal 3 14 2 2" xfId="334" xr:uid="{B0AC542D-8FAC-483D-8EA3-B26E7051972A}"/>
    <cellStyle name="Normal 3 14 3" xfId="264" xr:uid="{A94ACD44-E3F9-40CC-887C-0B57F8E50A40}"/>
    <cellStyle name="Normal 3 15" xfId="93" xr:uid="{00000000-0005-0000-0000-00005D000000}"/>
    <cellStyle name="Normal 3 15 2" xfId="194" xr:uid="{F5CB60F3-F548-4080-9BA2-EB7A99C4E4CA}"/>
    <cellStyle name="Normal 3 15 2 2" xfId="335" xr:uid="{C04F41B5-1939-4DC7-AB6C-764791FB46C0}"/>
    <cellStyle name="Normal 3 15 3" xfId="265" xr:uid="{B439E27F-454A-44DD-A14D-EFBCFBC09989}"/>
    <cellStyle name="Normal 3 16" xfId="94" xr:uid="{00000000-0005-0000-0000-00005E000000}"/>
    <cellStyle name="Normal 3 16 2" xfId="195" xr:uid="{C252D0F8-DD67-4192-84C5-01EEF8F1D68F}"/>
    <cellStyle name="Normal 3 16 2 2" xfId="336" xr:uid="{DB7E1B8A-E477-4833-B455-8C8F4182712F}"/>
    <cellStyle name="Normal 3 16 3" xfId="266" xr:uid="{A1181819-64E7-4A9B-9DE4-7E7023AC8283}"/>
    <cellStyle name="Normal 3 17" xfId="95" xr:uid="{00000000-0005-0000-0000-00005F000000}"/>
    <cellStyle name="Normal 3 17 2" xfId="196" xr:uid="{A915EB37-8C14-435A-A2D2-C014A9A398D7}"/>
    <cellStyle name="Normal 3 17 2 2" xfId="337" xr:uid="{274AFBAC-726F-4722-9064-7F0ADC501394}"/>
    <cellStyle name="Normal 3 17 3" xfId="267" xr:uid="{5A2ED8D0-7648-4C85-A889-A1E5670BFE9A}"/>
    <cellStyle name="Normal 3 18" xfId="96" xr:uid="{00000000-0005-0000-0000-000060000000}"/>
    <cellStyle name="Normal 3 18 2" xfId="197" xr:uid="{65053B8C-E5D3-433A-B9B4-6F50EA996FAC}"/>
    <cellStyle name="Normal 3 18 2 2" xfId="338" xr:uid="{E7438AE6-CAC9-486D-ABCF-5DFC4DC4DB03}"/>
    <cellStyle name="Normal 3 18 3" xfId="268" xr:uid="{2F913E38-F7DE-44C3-98D0-DC11A672D673}"/>
    <cellStyle name="Normal 3 19" xfId="97" xr:uid="{00000000-0005-0000-0000-000061000000}"/>
    <cellStyle name="Normal 3 19 2" xfId="198" xr:uid="{0F4D93EE-B71A-4048-85F9-46BA013FAFDE}"/>
    <cellStyle name="Normal 3 19 2 2" xfId="339" xr:uid="{73CE390B-7061-46E5-81F1-83D49634203E}"/>
    <cellStyle name="Normal 3 19 3" xfId="269" xr:uid="{B703F018-69F7-45F9-96D3-DA7F98E410A7}"/>
    <cellStyle name="Normal 3 2" xfId="98" xr:uid="{00000000-0005-0000-0000-000062000000}"/>
    <cellStyle name="Normal 3 2 10" xfId="99" xr:uid="{00000000-0005-0000-0000-000063000000}"/>
    <cellStyle name="Normal 3 2 11" xfId="100" xr:uid="{00000000-0005-0000-0000-000064000000}"/>
    <cellStyle name="Normal 3 2 12" xfId="101" xr:uid="{00000000-0005-0000-0000-000065000000}"/>
    <cellStyle name="Normal 3 2 13" xfId="199" xr:uid="{97876005-FD65-495B-A0A2-AE958117ABFE}"/>
    <cellStyle name="Normal 3 2 13 2" xfId="340" xr:uid="{C5E552F5-557D-4751-8778-F877839AE64D}"/>
    <cellStyle name="Normal 3 2 14" xfId="270" xr:uid="{F88528B7-0926-4AFD-92C8-8F582BE2CCD7}"/>
    <cellStyle name="Normal 3 2 2" xfId="102" xr:uid="{00000000-0005-0000-0000-000066000000}"/>
    <cellStyle name="Normal 3 2 3" xfId="103" xr:uid="{00000000-0005-0000-0000-000067000000}"/>
    <cellStyle name="Normal 3 2 4" xfId="104" xr:uid="{00000000-0005-0000-0000-000068000000}"/>
    <cellStyle name="Normal 3 2 5" xfId="105" xr:uid="{00000000-0005-0000-0000-000069000000}"/>
    <cellStyle name="Normal 3 2 6" xfId="106" xr:uid="{00000000-0005-0000-0000-00006A000000}"/>
    <cellStyle name="Normal 3 2 7" xfId="107" xr:uid="{00000000-0005-0000-0000-00006B000000}"/>
    <cellStyle name="Normal 3 2 8" xfId="108" xr:uid="{00000000-0005-0000-0000-00006C000000}"/>
    <cellStyle name="Normal 3 2 9" xfId="109" xr:uid="{00000000-0005-0000-0000-00006D000000}"/>
    <cellStyle name="Normal 3 20" xfId="110" xr:uid="{00000000-0005-0000-0000-00006E000000}"/>
    <cellStyle name="Normal 3 20 2" xfId="200" xr:uid="{9F213D40-10EA-4736-BC7B-C5602A6B9BDB}"/>
    <cellStyle name="Normal 3 20 2 2" xfId="341" xr:uid="{FBAF6909-76E5-4377-AC17-FC6AC1780C93}"/>
    <cellStyle name="Normal 3 20 3" xfId="271" xr:uid="{3570A0EE-D0DB-48E7-958B-24619FD8DBDB}"/>
    <cellStyle name="Normal 3 21" xfId="111" xr:uid="{00000000-0005-0000-0000-00006F000000}"/>
    <cellStyle name="Normal 3 21 2" xfId="201" xr:uid="{5216562C-BFBB-4F2E-871F-B36926792634}"/>
    <cellStyle name="Normal 3 21 2 2" xfId="342" xr:uid="{DBE1A786-4667-4ACA-87DD-8D3C87F2DBE1}"/>
    <cellStyle name="Normal 3 21 3" xfId="272" xr:uid="{998143F7-DE05-4038-87AE-F42C77A361FD}"/>
    <cellStyle name="Normal 3 3" xfId="112" xr:uid="{00000000-0005-0000-0000-000070000000}"/>
    <cellStyle name="Normal 3 4" xfId="113" xr:uid="{00000000-0005-0000-0000-000071000000}"/>
    <cellStyle name="Normal 3 5" xfId="114" xr:uid="{00000000-0005-0000-0000-000072000000}"/>
    <cellStyle name="Normal 3 6" xfId="115" xr:uid="{00000000-0005-0000-0000-000073000000}"/>
    <cellStyle name="Normal 3 7" xfId="116" xr:uid="{00000000-0005-0000-0000-000074000000}"/>
    <cellStyle name="Normal 3 8" xfId="117" xr:uid="{00000000-0005-0000-0000-000075000000}"/>
    <cellStyle name="Normal 3 9" xfId="118" xr:uid="{00000000-0005-0000-0000-000076000000}"/>
    <cellStyle name="Normal 4 2" xfId="119" xr:uid="{00000000-0005-0000-0000-000077000000}"/>
    <cellStyle name="Normal 4 2 2" xfId="202" xr:uid="{E366F716-D008-4128-89EC-4EFEB8B0651E}"/>
    <cellStyle name="Normal 5 2" xfId="120" xr:uid="{00000000-0005-0000-0000-000078000000}"/>
    <cellStyle name="Normal 5 2 2" xfId="203" xr:uid="{F8BAF0EF-284E-4533-A52F-64403F73C6D5}"/>
    <cellStyle name="Normal 5 2 2 2" xfId="343" xr:uid="{51F24A38-A610-44DC-B09A-43F1496BC3F2}"/>
    <cellStyle name="Normal 5 2 3" xfId="273" xr:uid="{BCAAE20F-B7C1-44B9-9AB3-06E35513B05D}"/>
    <cellStyle name="Normal 85" xfId="121" xr:uid="{00000000-0005-0000-0000-000079000000}"/>
    <cellStyle name="Normal 85 2" xfId="204" xr:uid="{DE2146F2-4744-48E8-849B-AC1286F39D3E}"/>
    <cellStyle name="Normal 85 2 2" xfId="344" xr:uid="{6D999A02-B1F2-4DFD-A7B0-B0BC29AB51B4}"/>
    <cellStyle name="Normal 85 3" xfId="274" xr:uid="{FE2D647A-D1B1-40AA-9FD4-75E9F39BF71C}"/>
    <cellStyle name="Percent" xfId="122" builtinId="5"/>
  </cellStyles>
  <dxfs count="45">
    <dxf>
      <fill>
        <patternFill>
          <bgColor indexed="1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auto="1"/>
      </font>
      <fill>
        <patternFill>
          <bgColor indexed="35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auto="1"/>
      </font>
      <fill>
        <patternFill patternType="solid"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ont>
        <condense val="0"/>
        <extend val="0"/>
        <color auto="1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ill>
        <patternFill>
          <bgColor theme="9" tint="0.79998168889431442"/>
        </patternFill>
      </fill>
    </dxf>
    <dxf>
      <fill>
        <patternFill>
          <bgColor indexed="9"/>
        </patternFill>
      </fill>
    </dxf>
    <dxf>
      <fill>
        <patternFill patternType="gray0625">
          <bgColor indexed="41"/>
        </patternFill>
      </fill>
    </dxf>
    <dxf>
      <fill>
        <patternFill>
          <bgColor indexed="1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indexed="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gray0625">
          <bgColor indexed="41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auto="1"/>
      </font>
      <fill>
        <patternFill>
          <bgColor indexed="35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auto="1"/>
      </font>
      <fill>
        <patternFill patternType="solid"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ont>
        <condense val="0"/>
        <extend val="0"/>
        <color auto="1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ill>
        <patternFill>
          <bgColor theme="9" tint="0.79998168889431442"/>
        </patternFill>
      </fill>
    </dxf>
    <dxf>
      <fill>
        <patternFill>
          <bgColor indexed="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gray0625">
          <bgColor indexed="4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81346716854861"/>
          <c:y val="3.6745406824146981E-2"/>
          <c:w val="0.8866583019657045"/>
          <c:h val="0.65616797900262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'Chart 16-17'!$B$2</c:f>
              <c:strCache>
                <c:ptCount val="1"/>
                <c:pt idx="0">
                  <c:v>Budget 16-17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12296439732988E-2"/>
                  <c:y val="-5.5581141979893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E9-4488-8610-11A92622B87F}"/>
                </c:ext>
              </c:extLst>
            </c:dLbl>
            <c:dLbl>
              <c:idx val="1"/>
              <c:layout>
                <c:manualLayout>
                  <c:x val="5.0188205771643703E-3"/>
                  <c:y val="-2.5157232704402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E9-4488-8610-11A92622B87F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accent1"/>
                </a:solidFill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16-17'!$A$3:$A$9</c:f>
              <c:strCache>
                <c:ptCount val="7"/>
                <c:pt idx="0">
                  <c:v>Total Income</c:v>
                </c:pt>
                <c:pt idx="1">
                  <c:v>B/Maintenance/repairs cost</c:v>
                </c:pt>
                <c:pt idx="2">
                  <c:v>Management/Service Cost</c:v>
                </c:pt>
                <c:pt idx="3">
                  <c:v>Total Tenant cost</c:v>
                </c:pt>
                <c:pt idx="4">
                  <c:v>Total Improvement Cost</c:v>
                </c:pt>
                <c:pt idx="5">
                  <c:v>Staffing &amp; Contractors cost</c:v>
                </c:pt>
                <c:pt idx="6">
                  <c:v>Net Surplus ( Deficit )</c:v>
                </c:pt>
              </c:strCache>
            </c:strRef>
          </c:cat>
          <c:val>
            <c:numRef>
              <c:f>'Chart 16-17'!$B$3:$B$9</c:f>
              <c:numCache>
                <c:formatCode>_-"£"* #,##0_-;\-"£"* #,##0_-;_-"£"* "-"??_-;_-@_-</c:formatCode>
                <c:ptCount val="7"/>
                <c:pt idx="0">
                  <c:v>114703.85</c:v>
                </c:pt>
                <c:pt idx="1">
                  <c:v>38435.130000000005</c:v>
                </c:pt>
                <c:pt idx="2">
                  <c:v>19560.37</c:v>
                </c:pt>
                <c:pt idx="3">
                  <c:v>27597.739999999998</c:v>
                </c:pt>
                <c:pt idx="4">
                  <c:v>0</c:v>
                </c:pt>
                <c:pt idx="5">
                  <c:v>49965.648980000005</c:v>
                </c:pt>
                <c:pt idx="6">
                  <c:v>-20855.038979999998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E9-4488-8610-11A92622B87F}"/>
            </c:ext>
          </c:extLst>
        </c:ser>
        <c:ser>
          <c:idx val="1"/>
          <c:order val="1"/>
          <c:tx>
            <c:strRef>
              <c:f>'Chart 16-17'!$C$2</c:f>
              <c:strCache>
                <c:ptCount val="1"/>
                <c:pt idx="0">
                  <c:v>Budget to Date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1019966607059872E-4"/>
                  <c:y val="-5.3553706730054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E9-4488-8610-11A92622B87F}"/>
                </c:ext>
              </c:extLst>
            </c:dLbl>
            <c:dLbl>
              <c:idx val="1"/>
              <c:layout>
                <c:manualLayout>
                  <c:x val="1.0037641154328715E-2"/>
                  <c:y val="-8.6528475279173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E9-4488-8610-11A92622B87F}"/>
                </c:ext>
              </c:extLst>
            </c:dLbl>
            <c:dLbl>
              <c:idx val="2"/>
              <c:layout>
                <c:manualLayout>
                  <c:x val="1.3383521539104996E-2"/>
                  <c:y val="-0.10065691081067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E9-4488-8610-11A92622B87F}"/>
                </c:ext>
              </c:extLst>
            </c:dLbl>
            <c:dLbl>
              <c:idx val="3"/>
              <c:layout>
                <c:manualLayout>
                  <c:x val="1.3224131174318471E-2"/>
                  <c:y val="-5.0629921259842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E9-4488-8610-11A92622B87F}"/>
                </c:ext>
              </c:extLst>
            </c:dLbl>
            <c:dLbl>
              <c:idx val="4"/>
              <c:layout>
                <c:manualLayout>
                  <c:x val="6.6917607695524944E-3"/>
                  <c:y val="-5.66037735849056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E9-4488-8610-11A92622B87F}"/>
                </c:ext>
              </c:extLst>
            </c:dLbl>
            <c:dLbl>
              <c:idx val="5"/>
              <c:layout>
                <c:manualLayout>
                  <c:x val="4.8366413420405409E-3"/>
                  <c:y val="-5.2934927945327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E9-4488-8610-11A92622B87F}"/>
                </c:ext>
              </c:extLst>
            </c:dLbl>
            <c:dLbl>
              <c:idx val="6"/>
              <c:layout>
                <c:manualLayout>
                  <c:x val="-3.3458803847762441E-3"/>
                  <c:y val="-3.2067300549695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E9-4488-8610-11A92622B87F}"/>
                </c:ext>
              </c:extLst>
            </c:dLbl>
            <c:spPr>
              <a:solidFill>
                <a:srgbClr val="FFFF00"/>
              </a:solidFill>
              <a:ln>
                <a:solidFill>
                  <a:srgbClr val="4F81BD"/>
                </a:solidFill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16-17'!$A$3:$A$9</c:f>
              <c:strCache>
                <c:ptCount val="7"/>
                <c:pt idx="0">
                  <c:v>Total Income</c:v>
                </c:pt>
                <c:pt idx="1">
                  <c:v>B/Maintenance/repairs cost</c:v>
                </c:pt>
                <c:pt idx="2">
                  <c:v>Management/Service Cost</c:v>
                </c:pt>
                <c:pt idx="3">
                  <c:v>Total Tenant cost</c:v>
                </c:pt>
                <c:pt idx="4">
                  <c:v>Total Improvement Cost</c:v>
                </c:pt>
                <c:pt idx="5">
                  <c:v>Staffing &amp; Contractors cost</c:v>
                </c:pt>
                <c:pt idx="6">
                  <c:v>Net Surplus ( Deficit )</c:v>
                </c:pt>
              </c:strCache>
            </c:strRef>
          </c:cat>
          <c:val>
            <c:numRef>
              <c:f>'Chart 16-17'!$C$3:$C$9</c:f>
              <c:numCache>
                <c:formatCode>_-"£"* #,##0_-;\-"£"* #,##0_-;_-"£"* "-"??_-;_-@_-</c:formatCode>
                <c:ptCount val="7"/>
                <c:pt idx="0">
                  <c:v>115817.20000000004</c:v>
                </c:pt>
                <c:pt idx="1">
                  <c:v>26931.68</c:v>
                </c:pt>
                <c:pt idx="2">
                  <c:v>16587.810000000001</c:v>
                </c:pt>
                <c:pt idx="3">
                  <c:v>20800</c:v>
                </c:pt>
                <c:pt idx="4">
                  <c:v>0</c:v>
                </c:pt>
                <c:pt idx="5">
                  <c:v>48325.130000000005</c:v>
                </c:pt>
                <c:pt idx="6">
                  <c:v>3172.5800000000454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E9-4488-8610-11A92622B87F}"/>
            </c:ext>
          </c:extLst>
        </c:ser>
        <c:ser>
          <c:idx val="2"/>
          <c:order val="2"/>
          <c:tx>
            <c:strRef>
              <c:f>'Chart 16-17'!$D$2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00751505810833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E9-4488-8610-11A92622B87F}"/>
                </c:ext>
              </c:extLst>
            </c:dLbl>
            <c:dLbl>
              <c:idx val="1"/>
              <c:layout>
                <c:manualLayout>
                  <c:x val="9.9009900990099306E-3"/>
                  <c:y val="-2.8784367206932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E9-4488-8610-11A92622B87F}"/>
                </c:ext>
              </c:extLst>
            </c:dLbl>
            <c:dLbl>
              <c:idx val="2"/>
              <c:layout>
                <c:manualLayout>
                  <c:x val="5.0188205771643703E-3"/>
                  <c:y val="-8.230452674897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E9-4488-8610-11A92622B87F}"/>
                </c:ext>
              </c:extLst>
            </c:dLbl>
            <c:dLbl>
              <c:idx val="3"/>
              <c:layout>
                <c:manualLayout>
                  <c:x val="1.1551155115511578E-2"/>
                  <c:y val="-1.2336157374399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BE9-4488-8610-11A92622B87F}"/>
                </c:ext>
              </c:extLst>
            </c:dLbl>
            <c:dLbl>
              <c:idx val="4"/>
              <c:layout>
                <c:manualLayout>
                  <c:x val="1.3383521539104996E-2"/>
                  <c:y val="-1.6460905349794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BE9-4488-8610-11A92622B87F}"/>
                </c:ext>
              </c:extLst>
            </c:dLbl>
            <c:dLbl>
              <c:idx val="5"/>
              <c:layout>
                <c:manualLayout>
                  <c:x val="2.5094102885821885E-2"/>
                  <c:y val="-6.2893081761006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BE9-4488-8610-11A92622B87F}"/>
                </c:ext>
              </c:extLst>
            </c:dLbl>
            <c:dLbl>
              <c:idx val="6"/>
              <c:layout>
                <c:manualLayout>
                  <c:x val="3.1785731927800168E-2"/>
                  <c:y val="-1.3184024166790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BE9-4488-8610-11A92622B87F}"/>
                </c:ext>
              </c:extLst>
            </c:dLbl>
            <c:spPr>
              <a:solidFill>
                <a:srgbClr val="FFFF00"/>
              </a:solidFill>
              <a:ln>
                <a:solidFill>
                  <a:srgbClr val="4F81BD"/>
                </a:solidFill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16-17'!$A$3:$A$9</c:f>
              <c:strCache>
                <c:ptCount val="7"/>
                <c:pt idx="0">
                  <c:v>Total Income</c:v>
                </c:pt>
                <c:pt idx="1">
                  <c:v>B/Maintenance/repairs cost</c:v>
                </c:pt>
                <c:pt idx="2">
                  <c:v>Management/Service Cost</c:v>
                </c:pt>
                <c:pt idx="3">
                  <c:v>Total Tenant cost</c:v>
                </c:pt>
                <c:pt idx="4">
                  <c:v>Total Improvement Cost</c:v>
                </c:pt>
                <c:pt idx="5">
                  <c:v>Staffing &amp; Contractors cost</c:v>
                </c:pt>
                <c:pt idx="6">
                  <c:v>Net Surplus ( Deficit )</c:v>
                </c:pt>
              </c:strCache>
            </c:strRef>
          </c:cat>
          <c:val>
            <c:numRef>
              <c:f>'Chart 16-17'!$D$3:$D$9</c:f>
              <c:numCache>
                <c:formatCode>_-"£"* #,##0_-;\-"£"* #,##0_-;_-"£"* "-"??_-;_-@_-</c:formatCode>
                <c:ptCount val="7"/>
                <c:pt idx="0">
                  <c:v>127076.49</c:v>
                </c:pt>
                <c:pt idx="1">
                  <c:v>40297.370000000003</c:v>
                </c:pt>
                <c:pt idx="2">
                  <c:v>13097.08</c:v>
                </c:pt>
                <c:pt idx="3">
                  <c:v>23147.48</c:v>
                </c:pt>
                <c:pt idx="4">
                  <c:v>0</c:v>
                </c:pt>
                <c:pt idx="5">
                  <c:v>47072.960000000006</c:v>
                </c:pt>
                <c:pt idx="6">
                  <c:v>3461.5999999999913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BE9-4488-8610-11A92622B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842240"/>
        <c:axId val="134843776"/>
        <c:axId val="0"/>
      </c:bar3DChart>
      <c:catAx>
        <c:axId val="13484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843776"/>
        <c:crosses val="autoZero"/>
        <c:auto val="1"/>
        <c:lblAlgn val="ctr"/>
        <c:lblOffset val="100"/>
        <c:noMultiLvlLbl val="0"/>
      </c:catAx>
      <c:valAx>
        <c:axId val="134843776"/>
        <c:scaling>
          <c:orientation val="minMax"/>
        </c:scaling>
        <c:delete val="0"/>
        <c:axPos val="l"/>
        <c:majorGridlines/>
        <c:numFmt formatCode="_-&quot;£&quot;* #,##0_-;\-&quot;£&quot;* #,##0_-;_-&quot;£&quot;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842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824341279799254"/>
          <c:y val="0.88713910761154857"/>
          <c:w val="0.70639899623588465"/>
          <c:h val="0.10498687664041972"/>
        </c:manualLayout>
      </c:layout>
      <c:overlay val="0"/>
      <c:txPr>
        <a:bodyPr/>
        <a:lstStyle/>
        <a:p>
          <a:pPr>
            <a:defRPr sz="2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89" l="0.25" r="0.25" t="0.75000000000000089" header="0.30000000000000032" footer="0.30000000000000032"/>
    <c:pageSetup orientation="landscape" horizontalDpi="300" verticalDpi="300" copies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81346716854864"/>
          <c:y val="3.6745406824146981E-2"/>
          <c:w val="0.8866583019657045"/>
          <c:h val="0.65616797900262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'Chart 15-16'!$B$2</c:f>
              <c:strCache>
                <c:ptCount val="1"/>
                <c:pt idx="0">
                  <c:v>Budget 15-16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1229643973298807E-2"/>
                  <c:y val="-5.5581141979893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FE-4E8D-B83C-74D5DF4F727A}"/>
                </c:ext>
              </c:extLst>
            </c:dLbl>
            <c:dLbl>
              <c:idx val="1"/>
              <c:layout>
                <c:manualLayout>
                  <c:x val="5.0188205771643703E-3"/>
                  <c:y val="-2.5157232704402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FE-4E8D-B83C-74D5DF4F727A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accent1"/>
                </a:solidFill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15-16'!$A$3:$A$9</c:f>
              <c:strCache>
                <c:ptCount val="7"/>
                <c:pt idx="0">
                  <c:v>Total Income</c:v>
                </c:pt>
                <c:pt idx="1">
                  <c:v>B/Maintenance/repairs cost</c:v>
                </c:pt>
                <c:pt idx="2">
                  <c:v>Management/Service Cost</c:v>
                </c:pt>
                <c:pt idx="3">
                  <c:v>Total Tenant cost</c:v>
                </c:pt>
                <c:pt idx="4">
                  <c:v>Total Improvement Cost</c:v>
                </c:pt>
                <c:pt idx="5">
                  <c:v>Staffing &amp; Contractors cost</c:v>
                </c:pt>
                <c:pt idx="6">
                  <c:v>Net Surplus ( Deficit )</c:v>
                </c:pt>
              </c:strCache>
            </c:strRef>
          </c:cat>
          <c:val>
            <c:numRef>
              <c:f>'Chart 15-16'!$B$3:$B$9</c:f>
              <c:numCache>
                <c:formatCode>_-"£"* #,##0_-;\-"£"* #,##0_-;_-"£"* "-"??_-;_-@_-</c:formatCode>
                <c:ptCount val="7"/>
                <c:pt idx="0">
                  <c:v>111523.99723928446</c:v>
                </c:pt>
                <c:pt idx="1">
                  <c:v>26350</c:v>
                </c:pt>
                <c:pt idx="2">
                  <c:v>20340</c:v>
                </c:pt>
                <c:pt idx="3">
                  <c:v>16300</c:v>
                </c:pt>
                <c:pt idx="4">
                  <c:v>0</c:v>
                </c:pt>
                <c:pt idx="5">
                  <c:v>45471.317175789583</c:v>
                </c:pt>
                <c:pt idx="6">
                  <c:v>3062.6800634948813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FE-4E8D-B83C-74D5DF4F727A}"/>
            </c:ext>
          </c:extLst>
        </c:ser>
        <c:ser>
          <c:idx val="1"/>
          <c:order val="1"/>
          <c:tx>
            <c:strRef>
              <c:f>'Chart 15-16'!$C$2</c:f>
              <c:strCache>
                <c:ptCount val="1"/>
                <c:pt idx="0">
                  <c:v>Budget to Date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1019966607059894E-4"/>
                  <c:y val="-5.3553706730054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FE-4E8D-B83C-74D5DF4F727A}"/>
                </c:ext>
              </c:extLst>
            </c:dLbl>
            <c:dLbl>
              <c:idx val="1"/>
              <c:layout>
                <c:manualLayout>
                  <c:x val="1.003764115432872E-2"/>
                  <c:y val="-8.6528475279172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FE-4E8D-B83C-74D5DF4F727A}"/>
                </c:ext>
              </c:extLst>
            </c:dLbl>
            <c:dLbl>
              <c:idx val="2"/>
              <c:layout>
                <c:manualLayout>
                  <c:x val="1.3383521539104989E-2"/>
                  <c:y val="-0.10065691081067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FE-4E8D-B83C-74D5DF4F727A}"/>
                </c:ext>
              </c:extLst>
            </c:dLbl>
            <c:dLbl>
              <c:idx val="3"/>
              <c:layout>
                <c:manualLayout>
                  <c:x val="1.3224131174318466E-2"/>
                  <c:y val="-5.0629921259842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FE-4E8D-B83C-74D5DF4F727A}"/>
                </c:ext>
              </c:extLst>
            </c:dLbl>
            <c:dLbl>
              <c:idx val="4"/>
              <c:layout>
                <c:manualLayout>
                  <c:x val="6.6917607695524926E-3"/>
                  <c:y val="-5.66037735849056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FE-4E8D-B83C-74D5DF4F727A}"/>
                </c:ext>
              </c:extLst>
            </c:dLbl>
            <c:dLbl>
              <c:idx val="5"/>
              <c:layout>
                <c:manualLayout>
                  <c:x val="4.8366413420405374E-3"/>
                  <c:y val="-5.2934927945327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FE-4E8D-B83C-74D5DF4F727A}"/>
                </c:ext>
              </c:extLst>
            </c:dLbl>
            <c:dLbl>
              <c:idx val="6"/>
              <c:layout>
                <c:manualLayout>
                  <c:x val="-3.3458803847762441E-3"/>
                  <c:y val="-3.2067300549695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FE-4E8D-B83C-74D5DF4F727A}"/>
                </c:ext>
              </c:extLst>
            </c:dLbl>
            <c:spPr>
              <a:solidFill>
                <a:srgbClr val="FFFF00"/>
              </a:solidFill>
              <a:ln>
                <a:solidFill>
                  <a:srgbClr val="4F81BD"/>
                </a:solidFill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15-16'!$A$3:$A$9</c:f>
              <c:strCache>
                <c:ptCount val="7"/>
                <c:pt idx="0">
                  <c:v>Total Income</c:v>
                </c:pt>
                <c:pt idx="1">
                  <c:v>B/Maintenance/repairs cost</c:v>
                </c:pt>
                <c:pt idx="2">
                  <c:v>Management/Service Cost</c:v>
                </c:pt>
                <c:pt idx="3">
                  <c:v>Total Tenant cost</c:v>
                </c:pt>
                <c:pt idx="4">
                  <c:v>Total Improvement Cost</c:v>
                </c:pt>
                <c:pt idx="5">
                  <c:v>Staffing &amp; Contractors cost</c:v>
                </c:pt>
                <c:pt idx="6">
                  <c:v>Net Surplus ( Deficit )</c:v>
                </c:pt>
              </c:strCache>
            </c:strRef>
          </c:cat>
          <c:val>
            <c:numRef>
              <c:f>'Chart 15-16'!$C$3:$C$9</c:f>
              <c:numCache>
                <c:formatCode>_-"£"* #,##0_-;\-"£"* #,##0_-;_-"£"* "-"??_-;_-@_-</c:formatCode>
                <c:ptCount val="7"/>
                <c:pt idx="0">
                  <c:v>111523.99723928446</c:v>
                </c:pt>
                <c:pt idx="1">
                  <c:v>26350</c:v>
                </c:pt>
                <c:pt idx="2">
                  <c:v>20340</c:v>
                </c:pt>
                <c:pt idx="3">
                  <c:v>16300</c:v>
                </c:pt>
                <c:pt idx="4">
                  <c:v>0</c:v>
                </c:pt>
                <c:pt idx="5">
                  <c:v>45471.317175789583</c:v>
                </c:pt>
                <c:pt idx="6">
                  <c:v>3062.6800634948813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FE-4E8D-B83C-74D5DF4F727A}"/>
            </c:ext>
          </c:extLst>
        </c:ser>
        <c:ser>
          <c:idx val="2"/>
          <c:order val="2"/>
          <c:tx>
            <c:strRef>
              <c:f>'Chart 15-16'!$D$2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00751505810832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FE-4E8D-B83C-74D5DF4F727A}"/>
                </c:ext>
              </c:extLst>
            </c:dLbl>
            <c:dLbl>
              <c:idx val="1"/>
              <c:layout>
                <c:manualLayout>
                  <c:x val="9.9009900990099237E-3"/>
                  <c:y val="-2.8784367206932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FE-4E8D-B83C-74D5DF4F727A}"/>
                </c:ext>
              </c:extLst>
            </c:dLbl>
            <c:dLbl>
              <c:idx val="2"/>
              <c:layout>
                <c:manualLayout>
                  <c:x val="5.0188205771643703E-3"/>
                  <c:y val="-8.230452674897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EFE-4E8D-B83C-74D5DF4F727A}"/>
                </c:ext>
              </c:extLst>
            </c:dLbl>
            <c:dLbl>
              <c:idx val="3"/>
              <c:layout>
                <c:manualLayout>
                  <c:x val="1.155115511551157E-2"/>
                  <c:y val="-1.2336157374399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EFE-4E8D-B83C-74D5DF4F727A}"/>
                </c:ext>
              </c:extLst>
            </c:dLbl>
            <c:dLbl>
              <c:idx val="4"/>
              <c:layout>
                <c:manualLayout>
                  <c:x val="1.3383521539104989E-2"/>
                  <c:y val="-1.6460905349794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EFE-4E8D-B83C-74D5DF4F727A}"/>
                </c:ext>
              </c:extLst>
            </c:dLbl>
            <c:dLbl>
              <c:idx val="5"/>
              <c:layout>
                <c:manualLayout>
                  <c:x val="2.5094102885821867E-2"/>
                  <c:y val="-6.28930817610063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EFE-4E8D-B83C-74D5DF4F727A}"/>
                </c:ext>
              </c:extLst>
            </c:dLbl>
            <c:dLbl>
              <c:idx val="6"/>
              <c:layout>
                <c:manualLayout>
                  <c:x val="3.1785731927800154E-2"/>
                  <c:y val="-1.3184024166790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EFE-4E8D-B83C-74D5DF4F727A}"/>
                </c:ext>
              </c:extLst>
            </c:dLbl>
            <c:spPr>
              <a:solidFill>
                <a:srgbClr val="FFFF00"/>
              </a:solidFill>
              <a:ln>
                <a:solidFill>
                  <a:srgbClr val="4F81BD"/>
                </a:solidFill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15-16'!$A$3:$A$9</c:f>
              <c:strCache>
                <c:ptCount val="7"/>
                <c:pt idx="0">
                  <c:v>Total Income</c:v>
                </c:pt>
                <c:pt idx="1">
                  <c:v>B/Maintenance/repairs cost</c:v>
                </c:pt>
                <c:pt idx="2">
                  <c:v>Management/Service Cost</c:v>
                </c:pt>
                <c:pt idx="3">
                  <c:v>Total Tenant cost</c:v>
                </c:pt>
                <c:pt idx="4">
                  <c:v>Total Improvement Cost</c:v>
                </c:pt>
                <c:pt idx="5">
                  <c:v>Staffing &amp; Contractors cost</c:v>
                </c:pt>
                <c:pt idx="6">
                  <c:v>Net Surplus ( Deficit )</c:v>
                </c:pt>
              </c:strCache>
            </c:strRef>
          </c:cat>
          <c:val>
            <c:numRef>
              <c:f>'Chart 15-16'!$D$3:$D$9</c:f>
              <c:numCache>
                <c:formatCode>_-"£"* #,##0_-;\-"£"* #,##0_-;_-"£"* "-"??_-;_-@_-</c:formatCode>
                <c:ptCount val="7"/>
                <c:pt idx="0">
                  <c:v>114067.93000000001</c:v>
                </c:pt>
                <c:pt idx="1">
                  <c:v>30546.649999999994</c:v>
                </c:pt>
                <c:pt idx="2">
                  <c:v>18839.769999999997</c:v>
                </c:pt>
                <c:pt idx="3">
                  <c:v>22391.07</c:v>
                </c:pt>
                <c:pt idx="4">
                  <c:v>2180</c:v>
                </c:pt>
                <c:pt idx="5">
                  <c:v>50615.26</c:v>
                </c:pt>
                <c:pt idx="6">
                  <c:v>-10504.819999999985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EFE-4E8D-B83C-74D5DF4F7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083328"/>
        <c:axId val="136084864"/>
        <c:axId val="0"/>
      </c:bar3DChart>
      <c:catAx>
        <c:axId val="13608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6084864"/>
        <c:crosses val="autoZero"/>
        <c:auto val="1"/>
        <c:lblAlgn val="ctr"/>
        <c:lblOffset val="100"/>
        <c:noMultiLvlLbl val="0"/>
      </c:catAx>
      <c:valAx>
        <c:axId val="136084864"/>
        <c:scaling>
          <c:orientation val="minMax"/>
        </c:scaling>
        <c:delete val="0"/>
        <c:axPos val="l"/>
        <c:majorGridlines/>
        <c:numFmt formatCode="_-&quot;£&quot;* #,##0_-;\-&quot;£&quot;* #,##0_-;_-&quot;£&quot;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6083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824341279799254"/>
          <c:y val="0.88713910761154857"/>
          <c:w val="0.70639899623588465"/>
          <c:h val="0.10498687664041972"/>
        </c:manualLayout>
      </c:layout>
      <c:overlay val="0"/>
      <c:txPr>
        <a:bodyPr/>
        <a:lstStyle/>
        <a:p>
          <a:pPr>
            <a:defRPr sz="2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56" l="0.25" r="0.25" t="0.75000000000000056" header="0.30000000000000027" footer="0.30000000000000027"/>
    <c:pageSetup orientation="landscape" horizontalDpi="300" verticalDpi="30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133350</xdr:rowOff>
    </xdr:from>
    <xdr:to>
      <xdr:col>4</xdr:col>
      <xdr:colOff>2381250</xdr:colOff>
      <xdr:row>28</xdr:row>
      <xdr:rowOff>552450</xdr:rowOff>
    </xdr:to>
    <xdr:graphicFrame macro="">
      <xdr:nvGraphicFramePr>
        <xdr:cNvPr id="1999052" name="Chart 1">
          <a:extLst>
            <a:ext uri="{FF2B5EF4-FFF2-40B4-BE49-F238E27FC236}">
              <a16:creationId xmlns:a16="http://schemas.microsoft.com/office/drawing/2014/main" id="{00000000-0008-0000-0000-0000CC801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133350</xdr:rowOff>
    </xdr:from>
    <xdr:to>
      <xdr:col>4</xdr:col>
      <xdr:colOff>2381250</xdr:colOff>
      <xdr:row>28</xdr:row>
      <xdr:rowOff>552450</xdr:rowOff>
    </xdr:to>
    <xdr:graphicFrame macro="">
      <xdr:nvGraphicFramePr>
        <xdr:cNvPr id="1315471" name="Chart 1">
          <a:extLst>
            <a:ext uri="{FF2B5EF4-FFF2-40B4-BE49-F238E27FC236}">
              <a16:creationId xmlns:a16="http://schemas.microsoft.com/office/drawing/2014/main" id="{00000000-0008-0000-0700-00008F12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RUBING%20LONDON/MGT%20AC/MCMO/MCMO%20MGT%20AC%20FOR%20JUL%2009/MCMO/MCMO%20mgt%20account/MCMO%20Mgt%20Account%20Dec%2007/MCMO_DEC_07_2007_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gt Account Dec 07"/>
      <sheetName val="Block cost"/>
      <sheetName val="Notes to Account Dec 07"/>
      <sheetName val="Mgt account (4 Allison SC)"/>
      <sheetName val="Block cost (service chrg)"/>
      <sheetName val="Services Charges Calculation"/>
      <sheetName val="Journal"/>
      <sheetName val="MCMO Budget summary 09-10"/>
      <sheetName val="Budget 2009-10"/>
      <sheetName val="Block cost 0910"/>
      <sheetName val="Block cost 0809 (4 Allison SC)"/>
      <sheetName val="M&amp;M Allowance 08~09"/>
      <sheetName val="Salary 2008-09"/>
      <sheetName val="Allowances08_09"/>
      <sheetName val="Prepayment"/>
      <sheetName val="Accruals"/>
    </sheetNames>
    <sheetDataSet>
      <sheetData sheetId="0" refreshError="1">
        <row r="58">
          <cell r="E58">
            <v>0</v>
          </cell>
        </row>
        <row r="67">
          <cell r="E67">
            <v>0</v>
          </cell>
        </row>
        <row r="73">
          <cell r="C73">
            <v>16950</v>
          </cell>
        </row>
        <row r="91">
          <cell r="C91">
            <v>37700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5">
          <cell r="E155">
            <v>0</v>
          </cell>
        </row>
        <row r="156">
          <cell r="E156">
            <v>0</v>
          </cell>
        </row>
        <row r="157">
          <cell r="E157">
            <v>0</v>
          </cell>
        </row>
        <row r="158">
          <cell r="E158">
            <v>0</v>
          </cell>
        </row>
        <row r="159">
          <cell r="E15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view="pageBreakPreview" zoomScaleNormal="100" zoomScaleSheetLayoutView="100" workbookViewId="0">
      <selection activeCell="Z10" sqref="Z10"/>
    </sheetView>
  </sheetViews>
  <sheetFormatPr defaultColWidth="9.109375" defaultRowHeight="14.4" x14ac:dyDescent="0.3"/>
  <cols>
    <col min="1" max="1" width="27.88671875" style="188" customWidth="1"/>
    <col min="2" max="2" width="19.33203125" style="188" customWidth="1"/>
    <col min="3" max="3" width="14.5546875" style="188" customWidth="1"/>
    <col min="4" max="4" width="16.44140625" style="188" customWidth="1"/>
    <col min="5" max="5" width="36" style="188" customWidth="1"/>
    <col min="6" max="16384" width="9.109375" style="188"/>
  </cols>
  <sheetData>
    <row r="1" spans="1:8" ht="15" thickBot="1" x14ac:dyDescent="0.35">
      <c r="A1" s="209" t="s">
        <v>155</v>
      </c>
      <c r="B1" s="210"/>
      <c r="C1" s="187"/>
      <c r="D1" s="392" t="str">
        <f>+'Mgt account 18-19'!B1</f>
        <v>Budget 18/19</v>
      </c>
    </row>
    <row r="2" spans="1:8" s="191" customFormat="1" ht="15" thickBot="1" x14ac:dyDescent="0.35">
      <c r="A2" s="318"/>
      <c r="B2" s="319" t="s">
        <v>431</v>
      </c>
      <c r="C2" s="319" t="s">
        <v>315</v>
      </c>
      <c r="D2" s="320" t="s">
        <v>205</v>
      </c>
      <c r="E2" s="321"/>
    </row>
    <row r="3" spans="1:8" x14ac:dyDescent="0.3">
      <c r="A3" s="322" t="s">
        <v>122</v>
      </c>
      <c r="B3" s="323">
        <f>+'Mgt account 18-19'!C147</f>
        <v>114703.85</v>
      </c>
      <c r="C3" s="323">
        <f>+'Mgt account 18-19'!E147</f>
        <v>115817.20000000004</v>
      </c>
      <c r="D3" s="323">
        <f>+'Mgt account 18-19'!F147</f>
        <v>127076.49</v>
      </c>
      <c r="E3" s="324"/>
    </row>
    <row r="4" spans="1:8" x14ac:dyDescent="0.3">
      <c r="A4" s="325" t="s">
        <v>123</v>
      </c>
      <c r="B4" s="326">
        <f>+'Mgt account 18-19'!C149</f>
        <v>38435.130000000005</v>
      </c>
      <c r="C4" s="326">
        <f>+'Mgt account 18-19'!E149</f>
        <v>26931.68</v>
      </c>
      <c r="D4" s="326">
        <f>+'Mgt account 18-19'!F149</f>
        <v>40297.370000000003</v>
      </c>
      <c r="E4" s="324"/>
    </row>
    <row r="5" spans="1:8" x14ac:dyDescent="0.3">
      <c r="A5" s="325" t="s">
        <v>124</v>
      </c>
      <c r="B5" s="326">
        <f>+'Mgt account 18-19'!C150</f>
        <v>19560.37</v>
      </c>
      <c r="C5" s="326">
        <f>+'Mgt account 18-19'!E150</f>
        <v>16587.810000000001</v>
      </c>
      <c r="D5" s="326">
        <f>+'Mgt account 18-19'!F150</f>
        <v>13097.08</v>
      </c>
      <c r="E5" s="324"/>
      <c r="G5" s="188" t="s">
        <v>305</v>
      </c>
      <c r="H5" s="188" t="s">
        <v>306</v>
      </c>
    </row>
    <row r="6" spans="1:8" x14ac:dyDescent="0.3">
      <c r="A6" s="325" t="s">
        <v>125</v>
      </c>
      <c r="B6" s="326">
        <f>+'Mgt account 18-19'!C153</f>
        <v>27597.739999999998</v>
      </c>
      <c r="C6" s="326">
        <f>+'Mgt account 18-19'!E153</f>
        <v>20800</v>
      </c>
      <c r="D6" s="326">
        <f>+'Mgt account 18-19'!F153</f>
        <v>23147.48</v>
      </c>
      <c r="E6" s="324"/>
    </row>
    <row r="7" spans="1:8" x14ac:dyDescent="0.3">
      <c r="A7" s="325" t="s">
        <v>126</v>
      </c>
      <c r="B7" s="326">
        <f>+'Mgt account 18-19'!C155</f>
        <v>0</v>
      </c>
      <c r="C7" s="326">
        <f>+'Mgt account 18-19'!E155</f>
        <v>0</v>
      </c>
      <c r="D7" s="326">
        <f>+'Mgt account 18-19'!F155</f>
        <v>0</v>
      </c>
      <c r="E7" s="324"/>
    </row>
    <row r="8" spans="1:8" ht="15" thickBot="1" x14ac:dyDescent="0.35">
      <c r="A8" s="327" t="s">
        <v>147</v>
      </c>
      <c r="B8" s="328">
        <f>+'Mgt account 18-19'!C157</f>
        <v>49965.648980000005</v>
      </c>
      <c r="C8" s="328">
        <f>+'Mgt account 18-19'!E157</f>
        <v>48325.130000000005</v>
      </c>
      <c r="D8" s="328">
        <f>+'Mgt account 18-19'!F157</f>
        <v>47072.960000000006</v>
      </c>
      <c r="E8" s="324"/>
    </row>
    <row r="9" spans="1:8" ht="15" thickBot="1" x14ac:dyDescent="0.35">
      <c r="A9" s="329" t="s">
        <v>127</v>
      </c>
      <c r="B9" s="330">
        <f>B3-B4-B5-B6-B7-B8</f>
        <v>-20855.038979999998</v>
      </c>
      <c r="C9" s="330">
        <f>C3-C4-C5-C6-C7-C8</f>
        <v>3172.5800000000454</v>
      </c>
      <c r="D9" s="330">
        <f>D3-D4-D5-D6-D7-D8</f>
        <v>3461.5999999999913</v>
      </c>
      <c r="E9" s="331"/>
    </row>
    <row r="29" ht="44.25" customHeight="1" x14ac:dyDescent="0.3"/>
  </sheetData>
  <conditionalFormatting sqref="D1">
    <cfRule type="cellIs" dxfId="44" priority="1" stopIfTrue="1" operator="lessThan">
      <formula>0</formula>
    </cfRule>
  </conditionalFormatting>
  <pageMargins left="0.7" right="0.7" top="0.75" bottom="0.75" header="0.3" footer="0.3"/>
  <pageSetup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tabColor indexed="61"/>
  </sheetPr>
  <dimension ref="A1:P227"/>
  <sheetViews>
    <sheetView view="pageBreakPreview" zoomScaleNormal="100" workbookViewId="0">
      <selection activeCell="Z10" sqref="Z10"/>
    </sheetView>
  </sheetViews>
  <sheetFormatPr defaultRowHeight="13.2" x14ac:dyDescent="0.25"/>
  <cols>
    <col min="1" max="1" width="30.88671875" style="2" customWidth="1"/>
    <col min="2" max="2" width="9.44140625" style="30" customWidth="1"/>
    <col min="3" max="3" width="16.33203125" style="103" customWidth="1"/>
    <col min="4" max="4" width="16.88671875" customWidth="1"/>
    <col min="5" max="5" width="15.109375" customWidth="1"/>
    <col min="6" max="6" width="11.88671875" hidden="1" customWidth="1"/>
    <col min="7" max="7" width="10.33203125" hidden="1" customWidth="1"/>
    <col min="8" max="8" width="9.109375" hidden="1" customWidth="1"/>
    <col min="9" max="10" width="16.88671875" hidden="1" customWidth="1"/>
    <col min="11" max="11" width="0" hidden="1" customWidth="1"/>
    <col min="12" max="12" width="11.5546875" hidden="1" customWidth="1"/>
    <col min="13" max="13" width="0" hidden="1" customWidth="1"/>
    <col min="14" max="14" width="11.33203125" bestFit="1" customWidth="1"/>
    <col min="15" max="16" width="10.33203125" bestFit="1" customWidth="1"/>
  </cols>
  <sheetData>
    <row r="1" spans="1:10" ht="13.8" thickBot="1" x14ac:dyDescent="0.3">
      <c r="A1" s="1" t="s">
        <v>155</v>
      </c>
      <c r="D1" s="394" t="str">
        <f>+'Mgt account 15-16'!D1</f>
        <v>Mar 16</v>
      </c>
      <c r="I1" s="394" t="e">
        <f>+#REF!</f>
        <v>#REF!</v>
      </c>
    </row>
    <row r="2" spans="1:10" ht="13.8" thickBot="1" x14ac:dyDescent="0.3">
      <c r="D2" s="201" t="str">
        <f>+'Mgt account 15-16'!D2</f>
        <v>QTR 4</v>
      </c>
      <c r="I2" s="201" t="e">
        <f>+#REF!</f>
        <v>#REF!</v>
      </c>
    </row>
    <row r="3" spans="1:10" ht="13.8" thickBot="1" x14ac:dyDescent="0.3">
      <c r="I3" s="39"/>
    </row>
    <row r="4" spans="1:10" ht="27" thickBot="1" x14ac:dyDescent="0.3">
      <c r="A4" s="4" t="s">
        <v>1</v>
      </c>
      <c r="B4" s="5" t="s">
        <v>2</v>
      </c>
      <c r="C4" s="115" t="s">
        <v>323</v>
      </c>
      <c r="D4" s="116" t="s">
        <v>182</v>
      </c>
      <c r="E4" s="116" t="s">
        <v>180</v>
      </c>
      <c r="I4" s="116" t="s">
        <v>182</v>
      </c>
      <c r="J4" s="116" t="s">
        <v>180</v>
      </c>
    </row>
    <row r="5" spans="1:10" ht="13.8" thickBot="1" x14ac:dyDescent="0.3">
      <c r="A5" s="6" t="s">
        <v>3</v>
      </c>
      <c r="B5" s="34"/>
      <c r="C5" s="359"/>
      <c r="D5" s="117"/>
      <c r="E5" s="117"/>
      <c r="I5" s="117"/>
      <c r="J5" s="117"/>
    </row>
    <row r="6" spans="1:10" x14ac:dyDescent="0.25">
      <c r="A6" s="7" t="s">
        <v>4</v>
      </c>
      <c r="B6" s="81">
        <v>4000</v>
      </c>
      <c r="C6" s="360">
        <f>+'Mgt account 15-16'!C5</f>
        <v>18259.486088000001</v>
      </c>
      <c r="D6" s="360">
        <f>+'Mgt account 15-16'!E5</f>
        <v>22285.06</v>
      </c>
      <c r="E6" s="360">
        <f>+C6-D6</f>
        <v>-4025.5739119999998</v>
      </c>
      <c r="F6" s="360">
        <f>+'Mgt account 15-16'!F5</f>
        <v>4025.5739119999998</v>
      </c>
      <c r="G6" s="360">
        <f>+'Mgt account 15-16'!G5</f>
        <v>4025.5739119999998</v>
      </c>
      <c r="H6" s="360">
        <f>+'Mgt account 15-16'!H5</f>
        <v>12</v>
      </c>
      <c r="I6" s="360">
        <f>+'Mgt account 15-16'!E5</f>
        <v>22285.06</v>
      </c>
      <c r="J6" s="118">
        <f t="shared" ref="J6:J25" si="0">+C6-I6</f>
        <v>-4025.5739119999998</v>
      </c>
    </row>
    <row r="7" spans="1:10" x14ac:dyDescent="0.25">
      <c r="A7" s="8" t="s">
        <v>5</v>
      </c>
      <c r="B7" s="27"/>
      <c r="C7" s="360">
        <f>+'Mgt account 15-16'!C6</f>
        <v>0</v>
      </c>
      <c r="D7" s="360">
        <f>+'Mgt account 15-16'!E6</f>
        <v>0</v>
      </c>
      <c r="E7" s="360">
        <f t="shared" ref="E7:E24" si="1">+C7-D7</f>
        <v>0</v>
      </c>
      <c r="I7" s="118" t="e">
        <f>+#REF!</f>
        <v>#REF!</v>
      </c>
      <c r="J7" s="118" t="e">
        <f t="shared" si="0"/>
        <v>#REF!</v>
      </c>
    </row>
    <row r="8" spans="1:10" x14ac:dyDescent="0.25">
      <c r="A8" s="8" t="s">
        <v>6</v>
      </c>
      <c r="B8" s="27">
        <v>4002</v>
      </c>
      <c r="C8" s="360">
        <f>+'Mgt account 15-16'!C7</f>
        <v>4233.5395760000001</v>
      </c>
      <c r="D8" s="360">
        <f>+'Mgt account 15-16'!E7</f>
        <v>4233.5200000000004</v>
      </c>
      <c r="E8" s="360">
        <f t="shared" si="1"/>
        <v>1.9575999999688065E-2</v>
      </c>
      <c r="I8" s="360">
        <f>+'Mgt account 15-16'!E7</f>
        <v>4233.5200000000004</v>
      </c>
      <c r="J8" s="118">
        <f t="shared" si="0"/>
        <v>1.9575999999688065E-2</v>
      </c>
    </row>
    <row r="9" spans="1:10" x14ac:dyDescent="0.25">
      <c r="A9" s="8" t="s">
        <v>7</v>
      </c>
      <c r="B9" s="27">
        <v>4003</v>
      </c>
      <c r="C9" s="360">
        <f>+'Mgt account 15-16'!C8</f>
        <v>30600.367736000004</v>
      </c>
      <c r="D9" s="360">
        <f>+'Mgt account 15-16'!E8</f>
        <v>30600.36</v>
      </c>
      <c r="E9" s="360">
        <f t="shared" si="1"/>
        <v>7.7360000032058451E-3</v>
      </c>
      <c r="I9" s="360">
        <f>+'Mgt account 15-16'!E8</f>
        <v>30600.36</v>
      </c>
      <c r="J9" s="118">
        <f t="shared" si="0"/>
        <v>7.7360000032058451E-3</v>
      </c>
    </row>
    <row r="10" spans="1:10" x14ac:dyDescent="0.25">
      <c r="A10" s="8" t="s">
        <v>8</v>
      </c>
      <c r="B10" s="27">
        <v>4004</v>
      </c>
      <c r="C10" s="360">
        <f>+'Mgt account 15-16'!C9</f>
        <v>0</v>
      </c>
      <c r="D10" s="360">
        <f>+'Mgt account 15-16'!E9</f>
        <v>0</v>
      </c>
      <c r="E10" s="360">
        <f t="shared" si="1"/>
        <v>0</v>
      </c>
      <c r="I10" s="360">
        <f>+'Mgt account 15-16'!E9</f>
        <v>0</v>
      </c>
      <c r="J10" s="118">
        <f t="shared" si="0"/>
        <v>0</v>
      </c>
    </row>
    <row r="11" spans="1:10" x14ac:dyDescent="0.25">
      <c r="A11" s="8" t="s">
        <v>9</v>
      </c>
      <c r="B11" s="27">
        <v>4005</v>
      </c>
      <c r="C11" s="360">
        <f>+'Mgt account 15-16'!C10</f>
        <v>10392.173016000001</v>
      </c>
      <c r="D11" s="360">
        <f>+'Mgt account 15-16'!E10</f>
        <v>10392.200000000001</v>
      </c>
      <c r="E11" s="360">
        <f t="shared" si="1"/>
        <v>-2.6984000000084052E-2</v>
      </c>
      <c r="I11" s="360">
        <f>+'Mgt account 15-16'!E10</f>
        <v>10392.200000000001</v>
      </c>
      <c r="J11" s="118">
        <f t="shared" si="0"/>
        <v>-2.6984000000084052E-2</v>
      </c>
    </row>
    <row r="12" spans="1:10" x14ac:dyDescent="0.25">
      <c r="A12" s="8" t="s">
        <v>10</v>
      </c>
      <c r="B12" s="27">
        <v>4006</v>
      </c>
      <c r="C12" s="360">
        <f>+'Mgt account 15-16'!C11</f>
        <v>0</v>
      </c>
      <c r="D12" s="360">
        <f>+'Mgt account 15-16'!E11</f>
        <v>0</v>
      </c>
      <c r="E12" s="360">
        <f t="shared" si="1"/>
        <v>0</v>
      </c>
      <c r="I12" s="360">
        <f>+'Mgt account 15-16'!E11</f>
        <v>0</v>
      </c>
      <c r="J12" s="118">
        <f t="shared" si="0"/>
        <v>0</v>
      </c>
    </row>
    <row r="13" spans="1:10" x14ac:dyDescent="0.25">
      <c r="A13" s="8" t="s">
        <v>11</v>
      </c>
      <c r="B13" s="27">
        <v>4007</v>
      </c>
      <c r="C13" s="360">
        <f>+'Mgt account 15-16'!C12</f>
        <v>0</v>
      </c>
      <c r="D13" s="360">
        <f>+'Mgt account 15-16'!E12</f>
        <v>0</v>
      </c>
      <c r="E13" s="360">
        <f t="shared" si="1"/>
        <v>0</v>
      </c>
      <c r="I13" s="360">
        <f>+'Mgt account 15-16'!E12</f>
        <v>0</v>
      </c>
      <c r="J13" s="118">
        <f t="shared" si="0"/>
        <v>0</v>
      </c>
    </row>
    <row r="14" spans="1:10" x14ac:dyDescent="0.25">
      <c r="A14" s="8" t="s">
        <v>297</v>
      </c>
      <c r="B14" s="27">
        <v>4021</v>
      </c>
      <c r="C14" s="360">
        <f>+'Mgt account 15-16'!C13</f>
        <v>3956.0212692135851</v>
      </c>
      <c r="D14" s="360">
        <f>+'Mgt account 15-16'!E13</f>
        <v>4980.3999999999996</v>
      </c>
      <c r="E14" s="360">
        <f t="shared" si="1"/>
        <v>-1024.3787307864145</v>
      </c>
      <c r="I14" s="360">
        <f>+'Mgt account 15-16'!E13</f>
        <v>4980.3999999999996</v>
      </c>
      <c r="J14" s="118">
        <f t="shared" si="0"/>
        <v>-1024.3787307864145</v>
      </c>
    </row>
    <row r="15" spans="1:10" x14ac:dyDescent="0.25">
      <c r="A15" s="8" t="s">
        <v>12</v>
      </c>
      <c r="B15" s="27">
        <v>4025</v>
      </c>
      <c r="C15" s="360">
        <f>+'Mgt account 15-16'!C14</f>
        <v>3956.0212692135851</v>
      </c>
      <c r="D15" s="360">
        <f>+'Mgt account 15-16'!E14</f>
        <v>5360.38</v>
      </c>
      <c r="E15" s="360">
        <f t="shared" si="1"/>
        <v>-1404.358730786415</v>
      </c>
      <c r="I15" s="360">
        <f>+'Mgt account 15-16'!E14</f>
        <v>5360.38</v>
      </c>
      <c r="J15" s="118">
        <f t="shared" si="0"/>
        <v>-1404.358730786415</v>
      </c>
    </row>
    <row r="16" spans="1:10" x14ac:dyDescent="0.25">
      <c r="A16" s="8" t="s">
        <v>13</v>
      </c>
      <c r="B16" s="27">
        <v>4010</v>
      </c>
      <c r="C16" s="360">
        <f>+'Mgt account 15-16'!C15</f>
        <v>38002.039708857301</v>
      </c>
      <c r="D16" s="360">
        <f>+'Mgt account 15-16'!E15</f>
        <v>33858.44</v>
      </c>
      <c r="E16" s="360">
        <f t="shared" si="1"/>
        <v>4143.5997088572985</v>
      </c>
      <c r="I16" s="360">
        <f>+'Mgt account 15-16'!E15</f>
        <v>33858.44</v>
      </c>
      <c r="J16" s="118">
        <f t="shared" si="0"/>
        <v>4143.5997088572985</v>
      </c>
    </row>
    <row r="17" spans="1:14" x14ac:dyDescent="0.25">
      <c r="A17" s="8" t="s">
        <v>14</v>
      </c>
      <c r="B17" s="27">
        <v>4030</v>
      </c>
      <c r="C17" s="360">
        <f>+'Mgt account 15-16'!C16</f>
        <v>0</v>
      </c>
      <c r="D17" s="360">
        <f>+'Mgt account 15-16'!E16</f>
        <v>0</v>
      </c>
      <c r="E17" s="360">
        <f t="shared" si="1"/>
        <v>0</v>
      </c>
      <c r="I17" s="360">
        <f>+'Mgt account 15-16'!E16</f>
        <v>0</v>
      </c>
      <c r="J17" s="118">
        <f t="shared" si="0"/>
        <v>0</v>
      </c>
    </row>
    <row r="18" spans="1:14" x14ac:dyDescent="0.25">
      <c r="A18" s="8" t="s">
        <v>15</v>
      </c>
      <c r="B18" s="27">
        <v>4040</v>
      </c>
      <c r="C18" s="360">
        <f>+'Mgt account 15-16'!C17</f>
        <v>0</v>
      </c>
      <c r="D18" s="360">
        <f>+'Mgt account 15-16'!E17</f>
        <v>0</v>
      </c>
      <c r="E18" s="360">
        <f t="shared" si="1"/>
        <v>0</v>
      </c>
      <c r="I18" s="360">
        <f>+'Mgt account 15-16'!E17</f>
        <v>0</v>
      </c>
      <c r="J18" s="118">
        <f t="shared" si="0"/>
        <v>0</v>
      </c>
    </row>
    <row r="19" spans="1:14" x14ac:dyDescent="0.25">
      <c r="A19" s="8" t="s">
        <v>16</v>
      </c>
      <c r="B19" s="27">
        <v>4051</v>
      </c>
      <c r="C19" s="360">
        <f>+'Mgt account 15-16'!C18</f>
        <v>0</v>
      </c>
      <c r="D19" s="360">
        <f>+'Mgt account 15-16'!E18</f>
        <v>0</v>
      </c>
      <c r="E19" s="360">
        <f t="shared" si="1"/>
        <v>0</v>
      </c>
      <c r="I19" s="360">
        <f>+'Mgt account 15-16'!E18</f>
        <v>0</v>
      </c>
      <c r="J19" s="118">
        <f t="shared" si="0"/>
        <v>0</v>
      </c>
    </row>
    <row r="20" spans="1:14" x14ac:dyDescent="0.25">
      <c r="A20" s="8" t="s">
        <v>17</v>
      </c>
      <c r="B20" s="27">
        <v>4060</v>
      </c>
      <c r="C20" s="360">
        <f>+'Mgt account 15-16'!C19</f>
        <v>0</v>
      </c>
      <c r="D20" s="360">
        <f>+'Mgt account 15-16'!E19</f>
        <v>0</v>
      </c>
      <c r="E20" s="360">
        <f t="shared" si="1"/>
        <v>0</v>
      </c>
      <c r="I20" s="360">
        <f>+'Mgt account 15-16'!E19</f>
        <v>0</v>
      </c>
      <c r="J20" s="118">
        <f t="shared" si="0"/>
        <v>0</v>
      </c>
    </row>
    <row r="21" spans="1:14" x14ac:dyDescent="0.25">
      <c r="A21" s="8" t="s">
        <v>18</v>
      </c>
      <c r="B21" s="27">
        <v>4065</v>
      </c>
      <c r="C21" s="360">
        <f>+'Mgt account 15-16'!C20</f>
        <v>0</v>
      </c>
      <c r="D21" s="360">
        <f>+'Mgt account 15-16'!E20</f>
        <v>0</v>
      </c>
      <c r="E21" s="360">
        <f t="shared" si="1"/>
        <v>0</v>
      </c>
      <c r="I21" s="360">
        <f>+'Mgt account 15-16'!E20</f>
        <v>0</v>
      </c>
      <c r="J21" s="118">
        <f t="shared" si="0"/>
        <v>0</v>
      </c>
    </row>
    <row r="22" spans="1:14" x14ac:dyDescent="0.25">
      <c r="A22" s="8" t="s">
        <v>19</v>
      </c>
      <c r="B22" s="27">
        <v>4085</v>
      </c>
      <c r="C22" s="360">
        <f>+'Mgt account 15-16'!C21</f>
        <v>0</v>
      </c>
      <c r="D22" s="360">
        <f>+'Mgt account 15-16'!E21</f>
        <v>0</v>
      </c>
      <c r="E22" s="360">
        <f t="shared" si="1"/>
        <v>0</v>
      </c>
      <c r="I22" s="360">
        <f>+'Mgt account 15-16'!E21</f>
        <v>0</v>
      </c>
      <c r="J22" s="118">
        <f t="shared" si="0"/>
        <v>0</v>
      </c>
    </row>
    <row r="23" spans="1:14" x14ac:dyDescent="0.25">
      <c r="A23" s="8" t="s">
        <v>183</v>
      </c>
      <c r="B23" s="27">
        <v>4090</v>
      </c>
      <c r="C23" s="360">
        <f>+'Mgt account 15-16'!C22</f>
        <v>2124.3485760000003</v>
      </c>
      <c r="D23" s="360">
        <f>+'Mgt account 15-16'!E22</f>
        <v>2357.5700000000002</v>
      </c>
      <c r="E23" s="360">
        <f t="shared" si="1"/>
        <v>-233.22142399999984</v>
      </c>
      <c r="I23" s="360">
        <f>+'Mgt account 15-16'!E22</f>
        <v>2357.5700000000002</v>
      </c>
      <c r="J23" s="118">
        <f t="shared" si="0"/>
        <v>-233.22142399999984</v>
      </c>
    </row>
    <row r="24" spans="1:14" x14ac:dyDescent="0.25">
      <c r="A24" s="8" t="s">
        <v>20</v>
      </c>
      <c r="B24" s="27">
        <v>4095</v>
      </c>
      <c r="C24" s="360">
        <f>+'Mgt account 15-16'!C23</f>
        <v>0</v>
      </c>
      <c r="D24" s="360">
        <f>+'Mgt account 15-16'!D23</f>
        <v>0</v>
      </c>
      <c r="E24" s="360">
        <f t="shared" si="1"/>
        <v>0</v>
      </c>
      <c r="I24" s="360">
        <f>+'Mgt account 15-16'!E23</f>
        <v>0</v>
      </c>
      <c r="J24" s="118">
        <f t="shared" si="0"/>
        <v>0</v>
      </c>
    </row>
    <row r="25" spans="1:14" ht="13.8" thickBot="1" x14ac:dyDescent="0.3">
      <c r="A25" s="10" t="s">
        <v>21</v>
      </c>
      <c r="B25" s="35">
        <v>4100</v>
      </c>
      <c r="C25" s="360">
        <f>+'Mgt account 15-16'!C24</f>
        <v>0</v>
      </c>
      <c r="D25" s="360">
        <f>+'Mgt account 15-16'!D24</f>
        <v>0</v>
      </c>
      <c r="E25" s="360">
        <f>+D25-C25</f>
        <v>0</v>
      </c>
      <c r="I25" s="360">
        <f>+'Mgt account 15-16'!E24</f>
        <v>0</v>
      </c>
      <c r="J25" s="118">
        <f t="shared" si="0"/>
        <v>0</v>
      </c>
    </row>
    <row r="26" spans="1:14" ht="13.8" thickBot="1" x14ac:dyDescent="0.3">
      <c r="A26" s="11" t="s">
        <v>22</v>
      </c>
      <c r="B26" s="28"/>
      <c r="C26" s="96">
        <f>SUM(C6:C25)</f>
        <v>111523.99723928446</v>
      </c>
      <c r="D26" s="119">
        <f>SUM(D6:D25)</f>
        <v>114067.93000000001</v>
      </c>
      <c r="E26" s="119">
        <f>SUM(E6:E25)</f>
        <v>-2543.9327607155269</v>
      </c>
      <c r="I26" s="119" t="e">
        <f>SUM(I6:I25)</f>
        <v>#REF!</v>
      </c>
      <c r="J26" s="119" t="e">
        <f>SUM(J6:J25)</f>
        <v>#REF!</v>
      </c>
      <c r="N26" s="9">
        <f>+D26-'Mgt account 15-16'!E25</f>
        <v>0</v>
      </c>
    </row>
    <row r="27" spans="1:14" ht="13.8" thickBot="1" x14ac:dyDescent="0.3">
      <c r="B27" s="22"/>
      <c r="C27" s="104"/>
    </row>
    <row r="28" spans="1:14" ht="27" thickBot="1" x14ac:dyDescent="0.3">
      <c r="A28" s="42" t="s">
        <v>160</v>
      </c>
      <c r="B28" s="72" t="s">
        <v>2</v>
      </c>
      <c r="C28" s="105" t="str">
        <f>+C4</f>
        <v>Budget for 2015-2016</v>
      </c>
      <c r="D28" s="120" t="s">
        <v>184</v>
      </c>
      <c r="E28" s="120" t="str">
        <f>E4</f>
        <v>Variance</v>
      </c>
      <c r="I28" s="120" t="s">
        <v>184</v>
      </c>
      <c r="J28" s="120" t="str">
        <f>J4</f>
        <v>Variance</v>
      </c>
    </row>
    <row r="29" spans="1:14" x14ac:dyDescent="0.25">
      <c r="A29" s="44" t="s">
        <v>23</v>
      </c>
      <c r="B29" s="73">
        <v>6000</v>
      </c>
      <c r="C29" s="106">
        <f>+'Mgt account 15-16'!C28</f>
        <v>5800</v>
      </c>
      <c r="D29" s="106">
        <f>+'Mgt account 15-16'!E28</f>
        <v>4198.3900000000003</v>
      </c>
      <c r="E29" s="118">
        <f t="shared" ref="E29:E38" si="2">C29-D29</f>
        <v>1601.6099999999997</v>
      </c>
      <c r="I29" s="121" t="e">
        <f>+#REF!</f>
        <v>#REF!</v>
      </c>
      <c r="J29" s="118" t="e">
        <f t="shared" ref="J29:J38" si="3">+C29-I29</f>
        <v>#REF!</v>
      </c>
    </row>
    <row r="30" spans="1:14" x14ac:dyDescent="0.25">
      <c r="A30" s="8" t="s">
        <v>25</v>
      </c>
      <c r="B30" s="74">
        <v>6020</v>
      </c>
      <c r="C30" s="106">
        <f>+'Mgt account 15-16'!C29</f>
        <v>1000</v>
      </c>
      <c r="D30" s="106">
        <f>+'Mgt account 15-16'!E29</f>
        <v>3669</v>
      </c>
      <c r="E30" s="118">
        <f t="shared" si="2"/>
        <v>-2669</v>
      </c>
      <c r="I30" s="121" t="e">
        <f>+#REF!</f>
        <v>#REF!</v>
      </c>
      <c r="J30" s="118" t="e">
        <f t="shared" si="3"/>
        <v>#REF!</v>
      </c>
    </row>
    <row r="31" spans="1:14" x14ac:dyDescent="0.25">
      <c r="A31" s="8" t="s">
        <v>27</v>
      </c>
      <c r="B31" s="74">
        <v>6026</v>
      </c>
      <c r="C31" s="106">
        <f>+'Mgt account 15-16'!C30</f>
        <v>1000</v>
      </c>
      <c r="D31" s="106">
        <f>+'Mgt account 15-16'!E30</f>
        <v>1417</v>
      </c>
      <c r="E31" s="118">
        <f t="shared" si="2"/>
        <v>-417</v>
      </c>
      <c r="I31" s="121" t="e">
        <f>+#REF!</f>
        <v>#REF!</v>
      </c>
      <c r="J31" s="118" t="e">
        <f t="shared" si="3"/>
        <v>#REF!</v>
      </c>
    </row>
    <row r="32" spans="1:14" x14ac:dyDescent="0.25">
      <c r="A32" s="8" t="s">
        <v>28</v>
      </c>
      <c r="B32" s="74">
        <v>6027</v>
      </c>
      <c r="C32" s="106">
        <f>+'Mgt account 15-16'!C31</f>
        <v>300</v>
      </c>
      <c r="D32" s="106">
        <f>+'Mgt account 15-16'!E31</f>
        <v>80</v>
      </c>
      <c r="E32" s="118">
        <f t="shared" si="2"/>
        <v>220</v>
      </c>
      <c r="I32" s="121" t="e">
        <f>+#REF!</f>
        <v>#REF!</v>
      </c>
      <c r="J32" s="118" t="e">
        <f t="shared" si="3"/>
        <v>#REF!</v>
      </c>
    </row>
    <row r="33" spans="1:14" x14ac:dyDescent="0.25">
      <c r="A33" s="8" t="s">
        <v>185</v>
      </c>
      <c r="B33" s="74">
        <v>6060</v>
      </c>
      <c r="C33" s="106">
        <f>+'Mgt account 15-16'!C32</f>
        <v>300</v>
      </c>
      <c r="D33" s="106">
        <f>+'Mgt account 15-16'!E32</f>
        <v>0</v>
      </c>
      <c r="E33" s="118">
        <f t="shared" si="2"/>
        <v>300</v>
      </c>
      <c r="I33" s="121" t="e">
        <f>+#REF!</f>
        <v>#REF!</v>
      </c>
      <c r="J33" s="118" t="e">
        <f t="shared" si="3"/>
        <v>#REF!</v>
      </c>
    </row>
    <row r="34" spans="1:14" x14ac:dyDescent="0.25">
      <c r="A34" s="8" t="s">
        <v>36</v>
      </c>
      <c r="B34" s="74">
        <v>6061</v>
      </c>
      <c r="C34" s="106">
        <f>+'Mgt account 15-16'!C33</f>
        <v>300</v>
      </c>
      <c r="D34" s="106">
        <f>+'Mgt account 15-16'!E33</f>
        <v>180</v>
      </c>
      <c r="E34" s="118">
        <f t="shared" si="2"/>
        <v>120</v>
      </c>
      <c r="I34" s="121" t="e">
        <f>+#REF!</f>
        <v>#REF!</v>
      </c>
      <c r="J34" s="118" t="e">
        <f t="shared" si="3"/>
        <v>#REF!</v>
      </c>
    </row>
    <row r="35" spans="1:14" x14ac:dyDescent="0.25">
      <c r="A35" s="8" t="s">
        <v>39</v>
      </c>
      <c r="B35" s="74">
        <v>6090</v>
      </c>
      <c r="C35" s="106">
        <f>+'Mgt account 15-16'!C34</f>
        <v>0</v>
      </c>
      <c r="D35" s="106">
        <f>+'Mgt account 15-16'!E34</f>
        <v>0</v>
      </c>
      <c r="E35" s="118">
        <f t="shared" si="2"/>
        <v>0</v>
      </c>
      <c r="I35" s="121" t="e">
        <f>+#REF!</f>
        <v>#REF!</v>
      </c>
      <c r="J35" s="118" t="e">
        <f t="shared" si="3"/>
        <v>#REF!</v>
      </c>
    </row>
    <row r="36" spans="1:14" x14ac:dyDescent="0.25">
      <c r="A36" s="8" t="s">
        <v>34</v>
      </c>
      <c r="B36" s="74">
        <v>6040</v>
      </c>
      <c r="C36" s="106">
        <f>+'Mgt account 15-16'!C35</f>
        <v>0</v>
      </c>
      <c r="D36" s="106">
        <f>+'Mgt account 15-16'!E35</f>
        <v>0</v>
      </c>
      <c r="E36" s="118">
        <f t="shared" si="2"/>
        <v>0</v>
      </c>
      <c r="I36" s="121" t="e">
        <f>+#REF!</f>
        <v>#REF!</v>
      </c>
      <c r="J36" s="118" t="e">
        <f t="shared" si="3"/>
        <v>#REF!</v>
      </c>
    </row>
    <row r="37" spans="1:14" x14ac:dyDescent="0.25">
      <c r="A37" s="8" t="s">
        <v>42</v>
      </c>
      <c r="B37" s="27">
        <v>6140</v>
      </c>
      <c r="C37" s="106">
        <f>+'Mgt account 15-16'!C36</f>
        <v>500</v>
      </c>
      <c r="D37" s="106">
        <f>+'Mgt account 15-16'!E36</f>
        <v>61.96</v>
      </c>
      <c r="E37" s="118">
        <f t="shared" si="2"/>
        <v>438.04</v>
      </c>
      <c r="I37" s="121" t="e">
        <f>+#REF!</f>
        <v>#REF!</v>
      </c>
      <c r="J37" s="118" t="e">
        <f t="shared" si="3"/>
        <v>#REF!</v>
      </c>
    </row>
    <row r="38" spans="1:14" ht="13.8" thickBot="1" x14ac:dyDescent="0.3">
      <c r="A38" s="8" t="s">
        <v>50</v>
      </c>
      <c r="B38" s="27">
        <v>6175</v>
      </c>
      <c r="C38" s="106">
        <f>+'Mgt account 15-16'!C37</f>
        <v>900</v>
      </c>
      <c r="D38" s="106">
        <f>+'Mgt account 15-16'!E37</f>
        <v>966</v>
      </c>
      <c r="E38" s="118">
        <f t="shared" si="2"/>
        <v>-66</v>
      </c>
      <c r="I38" s="121" t="e">
        <f>+#REF!</f>
        <v>#REF!</v>
      </c>
      <c r="J38" s="118" t="e">
        <f t="shared" si="3"/>
        <v>#REF!</v>
      </c>
    </row>
    <row r="39" spans="1:14" ht="13.8" thickBot="1" x14ac:dyDescent="0.3">
      <c r="A39" s="50" t="s">
        <v>60</v>
      </c>
      <c r="B39" s="75"/>
      <c r="C39" s="105">
        <f>SUM(C29:C38)</f>
        <v>10100</v>
      </c>
      <c r="D39" s="122">
        <f>SUM(D29:D38)</f>
        <v>10572.349999999999</v>
      </c>
      <c r="E39" s="122">
        <f>SUM(E29:E38)</f>
        <v>-472.35000000000031</v>
      </c>
      <c r="I39" s="122" t="e">
        <f>SUM(I29:I38)</f>
        <v>#REF!</v>
      </c>
      <c r="J39" s="122" t="e">
        <f>SUM(J29:J38)</f>
        <v>#REF!</v>
      </c>
    </row>
    <row r="40" spans="1:14" ht="13.8" thickBot="1" x14ac:dyDescent="0.3">
      <c r="B40" s="22"/>
      <c r="C40" s="108"/>
      <c r="I40" s="9" t="s">
        <v>131</v>
      </c>
      <c r="N40" s="9" t="s">
        <v>131</v>
      </c>
    </row>
    <row r="41" spans="1:14" ht="27" thickBot="1" x14ac:dyDescent="0.3">
      <c r="A41" s="123" t="s">
        <v>186</v>
      </c>
      <c r="B41" s="12" t="s">
        <v>2</v>
      </c>
      <c r="C41" s="109" t="str">
        <f>+C28</f>
        <v>Budget for 2015-2016</v>
      </c>
      <c r="D41" s="124" t="s">
        <v>184</v>
      </c>
      <c r="E41" s="124" t="str">
        <f>E28</f>
        <v>Variance</v>
      </c>
      <c r="I41" s="124" t="s">
        <v>184</v>
      </c>
      <c r="J41" s="124" t="str">
        <f>J28</f>
        <v>Variance</v>
      </c>
    </row>
    <row r="42" spans="1:14" x14ac:dyDescent="0.25">
      <c r="A42" s="8" t="s">
        <v>67</v>
      </c>
      <c r="B42" s="27">
        <v>7000</v>
      </c>
      <c r="C42" s="99">
        <f>+'Mgt account 15-16'!C99</f>
        <v>2850</v>
      </c>
      <c r="D42" s="99">
        <f>+'Mgt account 15-16'!E99</f>
        <v>3312.54</v>
      </c>
      <c r="E42" s="118">
        <f t="shared" ref="E42:E70" si="4">C42-D42</f>
        <v>-462.53999999999996</v>
      </c>
      <c r="I42" s="125" t="e">
        <f>+#REF!</f>
        <v>#REF!</v>
      </c>
      <c r="J42" s="118" t="e">
        <f t="shared" ref="J42:J70" si="5">+C42-I42</f>
        <v>#REF!</v>
      </c>
    </row>
    <row r="43" spans="1:14" x14ac:dyDescent="0.25">
      <c r="A43" s="8" t="s">
        <v>68</v>
      </c>
      <c r="B43" s="27">
        <v>7001</v>
      </c>
      <c r="C43" s="99">
        <f>+'Mgt account 15-16'!C100</f>
        <v>100</v>
      </c>
      <c r="D43" s="99">
        <f>+'Mgt account 15-16'!E100</f>
        <v>120.05</v>
      </c>
      <c r="E43" s="118">
        <f t="shared" si="4"/>
        <v>-20.049999999999997</v>
      </c>
      <c r="I43" s="125" t="e">
        <f>+#REF!</f>
        <v>#REF!</v>
      </c>
      <c r="J43" s="118" t="e">
        <f t="shared" si="5"/>
        <v>#REF!</v>
      </c>
    </row>
    <row r="44" spans="1:14" x14ac:dyDescent="0.25">
      <c r="A44" s="8" t="s">
        <v>69</v>
      </c>
      <c r="B44" s="27">
        <v>7002</v>
      </c>
      <c r="C44" s="99">
        <f>+'Mgt account 15-16'!C101</f>
        <v>1000</v>
      </c>
      <c r="D44" s="99">
        <f>+'Mgt account 15-16'!E101</f>
        <v>601.46</v>
      </c>
      <c r="E44" s="118">
        <f t="shared" si="4"/>
        <v>398.53999999999996</v>
      </c>
      <c r="I44" s="125" t="e">
        <f>+#REF!</f>
        <v>#REF!</v>
      </c>
      <c r="J44" s="118" t="e">
        <f t="shared" si="5"/>
        <v>#REF!</v>
      </c>
    </row>
    <row r="45" spans="1:14" x14ac:dyDescent="0.25">
      <c r="A45" s="8" t="s">
        <v>70</v>
      </c>
      <c r="B45" s="27">
        <v>7010</v>
      </c>
      <c r="C45" s="99">
        <f>+'Mgt account 15-16'!C102</f>
        <v>1650</v>
      </c>
      <c r="D45" s="99">
        <f>+'Mgt account 15-16'!E102</f>
        <v>1736.76</v>
      </c>
      <c r="E45" s="118">
        <f t="shared" si="4"/>
        <v>-86.759999999999991</v>
      </c>
      <c r="I45" s="125" t="e">
        <f>+#REF!</f>
        <v>#REF!</v>
      </c>
      <c r="J45" s="118" t="e">
        <f t="shared" si="5"/>
        <v>#REF!</v>
      </c>
    </row>
    <row r="46" spans="1:14" x14ac:dyDescent="0.25">
      <c r="A46" s="8" t="s">
        <v>71</v>
      </c>
      <c r="B46" s="27">
        <v>7020</v>
      </c>
      <c r="C46" s="99">
        <f>+'Mgt account 15-16'!C103</f>
        <v>900</v>
      </c>
      <c r="D46" s="99">
        <f>+'Mgt account 15-16'!E103</f>
        <v>2388.8000000000002</v>
      </c>
      <c r="E46" s="118">
        <f t="shared" si="4"/>
        <v>-1488.8000000000002</v>
      </c>
      <c r="I46" s="125" t="e">
        <f>+#REF!</f>
        <v>#REF!</v>
      </c>
      <c r="J46" s="118" t="e">
        <f t="shared" si="5"/>
        <v>#REF!</v>
      </c>
    </row>
    <row r="47" spans="1:14" x14ac:dyDescent="0.25">
      <c r="A47" s="8" t="s">
        <v>177</v>
      </c>
      <c r="B47" s="27">
        <v>7021</v>
      </c>
      <c r="C47" s="99">
        <f>+'Mgt account 15-16'!C104</f>
        <v>175</v>
      </c>
      <c r="D47" s="99">
        <f>+'Mgt account 15-16'!E104</f>
        <v>0</v>
      </c>
      <c r="E47" s="118">
        <f t="shared" si="4"/>
        <v>175</v>
      </c>
      <c r="I47" s="125" t="e">
        <f>+#REF!</f>
        <v>#REF!</v>
      </c>
      <c r="J47" s="118" t="e">
        <f t="shared" si="5"/>
        <v>#REF!</v>
      </c>
    </row>
    <row r="48" spans="1:14" x14ac:dyDescent="0.25">
      <c r="A48" s="8" t="s">
        <v>72</v>
      </c>
      <c r="B48" s="27">
        <v>7030</v>
      </c>
      <c r="C48" s="99">
        <f>+'Mgt account 15-16'!C105</f>
        <v>200</v>
      </c>
      <c r="D48" s="99">
        <f>+'Mgt account 15-16'!E105</f>
        <v>340.98</v>
      </c>
      <c r="E48" s="118">
        <f t="shared" si="4"/>
        <v>-140.98000000000002</v>
      </c>
      <c r="I48" s="125" t="e">
        <f>+#REF!</f>
        <v>#REF!</v>
      </c>
      <c r="J48" s="118" t="e">
        <f t="shared" si="5"/>
        <v>#REF!</v>
      </c>
    </row>
    <row r="49" spans="1:13" x14ac:dyDescent="0.25">
      <c r="A49" s="8" t="s">
        <v>73</v>
      </c>
      <c r="B49" s="27">
        <v>7031</v>
      </c>
      <c r="C49" s="99">
        <f>+'Mgt account 15-16'!C106</f>
        <v>300</v>
      </c>
      <c r="D49" s="99">
        <f>+'Mgt account 15-16'!E106</f>
        <v>473.14</v>
      </c>
      <c r="E49" s="118">
        <f t="shared" si="4"/>
        <v>-173.14</v>
      </c>
      <c r="I49" s="125" t="e">
        <f>+#REF!</f>
        <v>#REF!</v>
      </c>
      <c r="J49" s="118" t="e">
        <f t="shared" si="5"/>
        <v>#REF!</v>
      </c>
    </row>
    <row r="50" spans="1:13" x14ac:dyDescent="0.25">
      <c r="A50" s="8" t="s">
        <v>74</v>
      </c>
      <c r="B50" s="27">
        <v>7032</v>
      </c>
      <c r="C50" s="99">
        <f>+'Mgt account 15-16'!C107</f>
        <v>800</v>
      </c>
      <c r="D50" s="99">
        <f>+'Mgt account 15-16'!E107</f>
        <v>318.47000000000003</v>
      </c>
      <c r="E50" s="118">
        <f t="shared" si="4"/>
        <v>481.53</v>
      </c>
      <c r="I50" s="125" t="e">
        <f>+#REF!</f>
        <v>#REF!</v>
      </c>
      <c r="J50" s="118" t="e">
        <f t="shared" si="5"/>
        <v>#REF!</v>
      </c>
    </row>
    <row r="51" spans="1:13" x14ac:dyDescent="0.25">
      <c r="A51" s="8" t="s">
        <v>75</v>
      </c>
      <c r="B51" s="27">
        <v>7005</v>
      </c>
      <c r="C51" s="99">
        <f>+'Mgt account 15-16'!C108</f>
        <v>0</v>
      </c>
      <c r="D51" s="99">
        <f>+'Mgt account 15-16'!E108</f>
        <v>0</v>
      </c>
      <c r="E51" s="118">
        <f t="shared" si="4"/>
        <v>0</v>
      </c>
      <c r="I51" s="125" t="e">
        <f>+#REF!</f>
        <v>#REF!</v>
      </c>
      <c r="J51" s="118" t="e">
        <f t="shared" si="5"/>
        <v>#REF!</v>
      </c>
    </row>
    <row r="52" spans="1:13" x14ac:dyDescent="0.25">
      <c r="A52" s="8" t="s">
        <v>76</v>
      </c>
      <c r="B52" s="27">
        <v>7040</v>
      </c>
      <c r="C52" s="99">
        <f>+'Mgt account 15-16'!C109</f>
        <v>0</v>
      </c>
      <c r="D52" s="99">
        <f>+'Mgt account 15-16'!E109</f>
        <v>280</v>
      </c>
      <c r="E52" s="118">
        <f t="shared" si="4"/>
        <v>-280</v>
      </c>
      <c r="I52" s="125" t="e">
        <f>+#REF!</f>
        <v>#REF!</v>
      </c>
      <c r="J52" s="118" t="e">
        <f t="shared" si="5"/>
        <v>#REF!</v>
      </c>
    </row>
    <row r="53" spans="1:13" x14ac:dyDescent="0.25">
      <c r="A53" s="8" t="s">
        <v>77</v>
      </c>
      <c r="B53" s="27">
        <v>7050</v>
      </c>
      <c r="C53" s="99">
        <f>+'Mgt account 15-16'!C110</f>
        <v>0</v>
      </c>
      <c r="D53" s="99">
        <f>+'Mgt account 15-16'!E110</f>
        <v>0</v>
      </c>
      <c r="E53" s="118">
        <f t="shared" si="4"/>
        <v>0</v>
      </c>
      <c r="I53" s="125" t="e">
        <f>+#REF!</f>
        <v>#REF!</v>
      </c>
      <c r="J53" s="118" t="e">
        <f t="shared" si="5"/>
        <v>#REF!</v>
      </c>
    </row>
    <row r="54" spans="1:13" x14ac:dyDescent="0.25">
      <c r="A54" s="8" t="s">
        <v>78</v>
      </c>
      <c r="B54" s="27">
        <v>7060</v>
      </c>
      <c r="C54" s="99">
        <f>+'Mgt account 15-16'!C111</f>
        <v>100</v>
      </c>
      <c r="D54" s="99">
        <f>+'Mgt account 15-16'!E111</f>
        <v>82.47</v>
      </c>
      <c r="E54" s="118">
        <f t="shared" si="4"/>
        <v>17.53</v>
      </c>
      <c r="I54" s="125" t="e">
        <f>+#REF!</f>
        <v>#REF!</v>
      </c>
      <c r="J54" s="118" t="e">
        <f t="shared" si="5"/>
        <v>#REF!</v>
      </c>
    </row>
    <row r="55" spans="1:13" x14ac:dyDescent="0.25">
      <c r="A55" s="8" t="s">
        <v>79</v>
      </c>
      <c r="B55" s="27">
        <v>7065</v>
      </c>
      <c r="C55" s="99">
        <f>+'Mgt account 15-16'!C112</f>
        <v>0</v>
      </c>
      <c r="D55" s="99">
        <f>+'Mgt account 15-16'!E112</f>
        <v>0</v>
      </c>
      <c r="E55" s="118">
        <f t="shared" si="4"/>
        <v>0</v>
      </c>
      <c r="I55" s="125" t="e">
        <f>+#REF!</f>
        <v>#REF!</v>
      </c>
      <c r="J55" s="118" t="e">
        <f t="shared" si="5"/>
        <v>#REF!</v>
      </c>
    </row>
    <row r="56" spans="1:13" x14ac:dyDescent="0.25">
      <c r="A56" s="8" t="s">
        <v>80</v>
      </c>
      <c r="B56" s="27">
        <v>7070</v>
      </c>
      <c r="C56" s="99">
        <f>+'Mgt account 15-16'!C113</f>
        <v>1900</v>
      </c>
      <c r="D56" s="99">
        <f>+'Mgt account 15-16'!E113</f>
        <v>1319.73</v>
      </c>
      <c r="E56" s="118">
        <f t="shared" si="4"/>
        <v>580.27</v>
      </c>
      <c r="I56" s="125" t="e">
        <f>+#REF!</f>
        <v>#REF!</v>
      </c>
      <c r="J56" s="118" t="e">
        <f t="shared" si="5"/>
        <v>#REF!</v>
      </c>
    </row>
    <row r="57" spans="1:13" x14ac:dyDescent="0.25">
      <c r="A57" s="8" t="s">
        <v>81</v>
      </c>
      <c r="B57" s="27">
        <v>7075</v>
      </c>
      <c r="C57" s="99">
        <f>+'Mgt account 15-16'!C114</f>
        <v>100</v>
      </c>
      <c r="D57" s="99">
        <f>+'Mgt account 15-16'!E114</f>
        <v>42.18</v>
      </c>
      <c r="E57" s="118">
        <f t="shared" si="4"/>
        <v>57.82</v>
      </c>
      <c r="I57" s="125" t="e">
        <f>+#REF!</f>
        <v>#REF!</v>
      </c>
      <c r="J57" s="118" t="e">
        <f t="shared" si="5"/>
        <v>#REF!</v>
      </c>
    </row>
    <row r="58" spans="1:13" x14ac:dyDescent="0.25">
      <c r="A58" s="8" t="s">
        <v>82</v>
      </c>
      <c r="B58" s="27">
        <v>7080</v>
      </c>
      <c r="C58" s="99">
        <f>+'Mgt account 15-16'!C115</f>
        <v>150</v>
      </c>
      <c r="D58" s="99">
        <f>+'Mgt account 15-16'!E115</f>
        <v>420</v>
      </c>
      <c r="E58" s="118">
        <f t="shared" si="4"/>
        <v>-270</v>
      </c>
      <c r="I58" s="125" t="e">
        <f>+#REF!</f>
        <v>#REF!</v>
      </c>
      <c r="J58" s="118" t="e">
        <f t="shared" si="5"/>
        <v>#REF!</v>
      </c>
      <c r="K58">
        <v>565.94658216387506</v>
      </c>
      <c r="L58" s="24">
        <v>1165.5999999999999</v>
      </c>
      <c r="M58" s="9">
        <f>D58-L58</f>
        <v>-745.59999999999991</v>
      </c>
    </row>
    <row r="59" spans="1:13" x14ac:dyDescent="0.25">
      <c r="A59" s="8" t="s">
        <v>83</v>
      </c>
      <c r="B59" s="27">
        <v>7130</v>
      </c>
      <c r="C59" s="99">
        <f>+'Mgt account 15-16'!C116</f>
        <v>100</v>
      </c>
      <c r="D59" s="99">
        <f>+'Mgt account 15-16'!E116</f>
        <v>47.03</v>
      </c>
      <c r="E59" s="118">
        <f t="shared" si="4"/>
        <v>52.97</v>
      </c>
      <c r="I59" s="125" t="e">
        <f>+#REF!</f>
        <v>#REF!</v>
      </c>
      <c r="J59" s="118" t="e">
        <f t="shared" si="5"/>
        <v>#REF!</v>
      </c>
      <c r="L59" s="126">
        <v>697.57800000000009</v>
      </c>
      <c r="M59" s="9">
        <f>D59-L59</f>
        <v>-650.54800000000012</v>
      </c>
    </row>
    <row r="60" spans="1:13" ht="13.8" thickBot="1" x14ac:dyDescent="0.3">
      <c r="A60" s="8" t="s">
        <v>84</v>
      </c>
      <c r="B60" s="27">
        <v>7131</v>
      </c>
      <c r="C60" s="99">
        <f>+'Mgt account 15-16'!C117</f>
        <v>100</v>
      </c>
      <c r="D60" s="99">
        <f>+'Mgt account 15-16'!E117</f>
        <v>0</v>
      </c>
      <c r="E60" s="118">
        <f t="shared" si="4"/>
        <v>100</v>
      </c>
      <c r="I60" s="125" t="e">
        <f>+#REF!</f>
        <v>#REF!</v>
      </c>
      <c r="J60" s="118" t="e">
        <f t="shared" si="5"/>
        <v>#REF!</v>
      </c>
      <c r="M60" s="25">
        <f>SUM(M58:M59)</f>
        <v>-1396.1480000000001</v>
      </c>
    </row>
    <row r="61" spans="1:13" ht="13.8" thickTop="1" x14ac:dyDescent="0.25">
      <c r="A61" s="8" t="s">
        <v>85</v>
      </c>
      <c r="B61" s="27">
        <v>7150</v>
      </c>
      <c r="C61" s="99">
        <f>+'Mgt account 15-16'!C118</f>
        <v>100</v>
      </c>
      <c r="D61" s="99">
        <f>+'Mgt account 15-16'!E118</f>
        <v>58.99</v>
      </c>
      <c r="E61" s="118">
        <f t="shared" si="4"/>
        <v>41.01</v>
      </c>
      <c r="I61" s="125" t="e">
        <f>+#REF!</f>
        <v>#REF!</v>
      </c>
      <c r="J61" s="118" t="e">
        <f t="shared" si="5"/>
        <v>#REF!</v>
      </c>
    </row>
    <row r="62" spans="1:13" x14ac:dyDescent="0.25">
      <c r="A62" s="8" t="s">
        <v>86</v>
      </c>
      <c r="B62" s="27">
        <v>7160</v>
      </c>
      <c r="C62" s="99">
        <f>+'Mgt account 15-16'!C119</f>
        <v>100</v>
      </c>
      <c r="D62" s="99">
        <f>+'Mgt account 15-16'!E119</f>
        <v>0</v>
      </c>
      <c r="E62" s="118">
        <f t="shared" si="4"/>
        <v>100</v>
      </c>
      <c r="I62" s="125" t="e">
        <f>+#REF!</f>
        <v>#REF!</v>
      </c>
      <c r="J62" s="118" t="e">
        <f t="shared" si="5"/>
        <v>#REF!</v>
      </c>
    </row>
    <row r="63" spans="1:13" x14ac:dyDescent="0.25">
      <c r="A63" s="8" t="s">
        <v>87</v>
      </c>
      <c r="B63" s="27">
        <v>8000</v>
      </c>
      <c r="C63" s="99">
        <f>+'Mgt account 15-16'!C120</f>
        <v>2500</v>
      </c>
      <c r="D63" s="99">
        <f>+'Mgt account 15-16'!E120</f>
        <v>227.98999999999978</v>
      </c>
      <c r="E63" s="118">
        <f t="shared" si="4"/>
        <v>2272.0100000000002</v>
      </c>
      <c r="I63" s="125" t="e">
        <f>+#REF!</f>
        <v>#REF!</v>
      </c>
      <c r="J63" s="118" t="e">
        <f t="shared" si="5"/>
        <v>#REF!</v>
      </c>
    </row>
    <row r="64" spans="1:13" x14ac:dyDescent="0.25">
      <c r="A64" s="8" t="s">
        <v>88</v>
      </c>
      <c r="B64" s="27">
        <v>8010</v>
      </c>
      <c r="C64" s="99">
        <f>+'Mgt account 15-16'!C121</f>
        <v>1200</v>
      </c>
      <c r="D64" s="99">
        <f>+'Mgt account 15-16'!E121</f>
        <v>729.18</v>
      </c>
      <c r="E64" s="118">
        <f t="shared" si="4"/>
        <v>470.82000000000005</v>
      </c>
      <c r="I64" s="125" t="e">
        <f>+#REF!</f>
        <v>#REF!</v>
      </c>
      <c r="J64" s="118" t="e">
        <f t="shared" si="5"/>
        <v>#REF!</v>
      </c>
    </row>
    <row r="65" spans="1:10" x14ac:dyDescent="0.25">
      <c r="A65" s="8" t="s">
        <v>89</v>
      </c>
      <c r="B65" s="27">
        <v>8018</v>
      </c>
      <c r="C65" s="99">
        <f>+'Mgt account 15-16'!C122</f>
        <v>215</v>
      </c>
      <c r="D65" s="99">
        <f>+'Mgt account 15-16'!E122</f>
        <v>155</v>
      </c>
      <c r="E65" s="118">
        <f t="shared" si="4"/>
        <v>60</v>
      </c>
      <c r="I65" s="125" t="e">
        <f>+#REF!</f>
        <v>#REF!</v>
      </c>
      <c r="J65" s="118" t="e">
        <f t="shared" si="5"/>
        <v>#REF!</v>
      </c>
    </row>
    <row r="66" spans="1:10" x14ac:dyDescent="0.25">
      <c r="A66" s="8" t="s">
        <v>299</v>
      </c>
      <c r="B66" s="27" t="s">
        <v>90</v>
      </c>
      <c r="C66" s="99">
        <f>+'Mgt account 15-16'!C123</f>
        <v>4000</v>
      </c>
      <c r="D66" s="99">
        <f>+'Mgt account 15-16'!E123</f>
        <v>4000</v>
      </c>
      <c r="E66" s="118">
        <f t="shared" si="4"/>
        <v>0</v>
      </c>
      <c r="I66" s="125" t="e">
        <f>+#REF!</f>
        <v>#REF!</v>
      </c>
      <c r="J66" s="118" t="e">
        <f t="shared" si="5"/>
        <v>#REF!</v>
      </c>
    </row>
    <row r="67" spans="1:10" x14ac:dyDescent="0.25">
      <c r="A67" s="8" t="s">
        <v>91</v>
      </c>
      <c r="B67" s="27">
        <v>8040</v>
      </c>
      <c r="C67" s="99">
        <f>+'Mgt account 15-16'!C124</f>
        <v>1800</v>
      </c>
      <c r="D67" s="99">
        <f>+'Mgt account 15-16'!E124</f>
        <v>2185</v>
      </c>
      <c r="E67" s="118">
        <f t="shared" si="4"/>
        <v>-385</v>
      </c>
      <c r="I67" s="125" t="e">
        <f>+#REF!</f>
        <v>#REF!</v>
      </c>
      <c r="J67" s="118" t="e">
        <f t="shared" si="5"/>
        <v>#REF!</v>
      </c>
    </row>
    <row r="68" spans="1:10" x14ac:dyDescent="0.25">
      <c r="A68" s="8" t="s">
        <v>92</v>
      </c>
      <c r="B68" s="27">
        <v>8045</v>
      </c>
      <c r="C68" s="99">
        <f>+'Mgt account 15-16'!C125</f>
        <v>0</v>
      </c>
      <c r="D68" s="99">
        <f>+'Mgt account 15-16'!E125</f>
        <v>0</v>
      </c>
      <c r="E68" s="118">
        <f t="shared" si="4"/>
        <v>0</v>
      </c>
      <c r="I68" s="125" t="e">
        <f>+#REF!</f>
        <v>#REF!</v>
      </c>
      <c r="J68" s="118" t="e">
        <f t="shared" si="5"/>
        <v>#REF!</v>
      </c>
    </row>
    <row r="69" spans="1:10" x14ac:dyDescent="0.25">
      <c r="A69" s="8" t="s">
        <v>94</v>
      </c>
      <c r="B69" s="27">
        <v>8030</v>
      </c>
      <c r="C69" s="99">
        <f>+'Mgt account 15-16'!C126</f>
        <v>0</v>
      </c>
      <c r="D69" s="99">
        <f>+'Mgt account 15-16'!E126</f>
        <v>0</v>
      </c>
      <c r="E69" s="118">
        <f t="shared" si="4"/>
        <v>0</v>
      </c>
      <c r="I69" s="125" t="e">
        <f>+#REF!</f>
        <v>#REF!</v>
      </c>
      <c r="J69" s="118" t="e">
        <f t="shared" si="5"/>
        <v>#REF!</v>
      </c>
    </row>
    <row r="70" spans="1:10" ht="13.8" thickBot="1" x14ac:dyDescent="0.3">
      <c r="A70" s="8" t="s">
        <v>95</v>
      </c>
      <c r="B70" s="27">
        <v>8060</v>
      </c>
      <c r="C70" s="99">
        <f>+'Mgt account 15-16'!C127</f>
        <v>0</v>
      </c>
      <c r="D70" s="99">
        <f>+'Mgt account 15-16'!E127</f>
        <v>0</v>
      </c>
      <c r="E70" s="118">
        <f t="shared" si="4"/>
        <v>0</v>
      </c>
      <c r="I70" s="125" t="e">
        <f>+#REF!</f>
        <v>#REF!</v>
      </c>
      <c r="J70" s="118" t="e">
        <f t="shared" si="5"/>
        <v>#REF!</v>
      </c>
    </row>
    <row r="71" spans="1:10" ht="13.8" thickBot="1" x14ac:dyDescent="0.3">
      <c r="A71" s="743" t="s">
        <v>187</v>
      </c>
      <c r="B71" s="744"/>
      <c r="C71" s="96">
        <f>SUM(C42:C70)</f>
        <v>20340</v>
      </c>
      <c r="D71" s="96">
        <f>SUM(D42:D70)</f>
        <v>18839.769999999997</v>
      </c>
      <c r="E71" s="96">
        <f>SUM(E42:E70)</f>
        <v>1500.2300000000005</v>
      </c>
      <c r="G71" s="9">
        <f>E71+E123+E135</f>
        <v>-1794.6569999999992</v>
      </c>
      <c r="I71" s="96" t="e">
        <f>SUM(I42:I70)</f>
        <v>#REF!</v>
      </c>
      <c r="J71" s="96" t="e">
        <f>SUM(J42:J70)</f>
        <v>#REF!</v>
      </c>
    </row>
    <row r="72" spans="1:10" ht="13.8" thickBot="1" x14ac:dyDescent="0.3">
      <c r="A72" s="1"/>
      <c r="B72" s="22"/>
      <c r="C72" s="112"/>
      <c r="G72" s="9">
        <f>E39+E84+E88+E129</f>
        <v>-6045.7058242104176</v>
      </c>
    </row>
    <row r="73" spans="1:10" ht="27" thickBot="1" x14ac:dyDescent="0.3">
      <c r="A73" s="11" t="s">
        <v>188</v>
      </c>
      <c r="B73" s="181" t="s">
        <v>2</v>
      </c>
      <c r="C73" s="109" t="str">
        <f>+C41</f>
        <v>Budget for 2015-2016</v>
      </c>
      <c r="D73" s="114" t="s">
        <v>184</v>
      </c>
      <c r="E73" s="114" t="str">
        <f>E41</f>
        <v>Variance</v>
      </c>
      <c r="I73" s="114" t="s">
        <v>184</v>
      </c>
      <c r="J73" s="114" t="str">
        <f>J41</f>
        <v>Variance</v>
      </c>
    </row>
    <row r="74" spans="1:10" x14ac:dyDescent="0.25">
      <c r="A74" s="183" t="s">
        <v>189</v>
      </c>
      <c r="B74" s="133">
        <v>5001</v>
      </c>
      <c r="C74" s="99">
        <f>+'Mgt account 15-16'!C82</f>
        <v>8687</v>
      </c>
      <c r="D74" s="99">
        <f>+'Mgt account 15-16'!E82</f>
        <v>8687</v>
      </c>
      <c r="E74" s="118">
        <f>C74-D74</f>
        <v>0</v>
      </c>
      <c r="I74" s="347" t="e">
        <f>+#REF!</f>
        <v>#REF!</v>
      </c>
      <c r="J74" s="118" t="e">
        <f t="shared" ref="J74:J83" si="6">+C74-I74</f>
        <v>#REF!</v>
      </c>
    </row>
    <row r="75" spans="1:10" x14ac:dyDescent="0.25">
      <c r="A75" s="184" t="s">
        <v>142</v>
      </c>
      <c r="B75" s="182">
        <v>5002</v>
      </c>
      <c r="C75" s="99">
        <f>+'Mgt account 15-16'!C83</f>
        <v>3883.6</v>
      </c>
      <c r="D75" s="99">
        <f>+'Mgt account 15-16'!E83</f>
        <v>3985.8</v>
      </c>
      <c r="E75" s="118">
        <f t="shared" ref="E75:E83" si="7">C75-D75</f>
        <v>-102.20000000000027</v>
      </c>
      <c r="I75" s="347" t="e">
        <f>+#REF!</f>
        <v>#REF!</v>
      </c>
      <c r="J75" s="118" t="e">
        <f t="shared" si="6"/>
        <v>#REF!</v>
      </c>
    </row>
    <row r="76" spans="1:10" x14ac:dyDescent="0.25">
      <c r="A76" s="184" t="s">
        <v>212</v>
      </c>
      <c r="B76" s="182">
        <v>5003</v>
      </c>
      <c r="C76" s="99">
        <f>+'Mgt account 15-16'!C86</f>
        <v>500</v>
      </c>
      <c r="D76" s="99">
        <f>+'Mgt account 15-16'!E86</f>
        <v>10037.34</v>
      </c>
      <c r="E76" s="118">
        <f t="shared" si="7"/>
        <v>-9537.34</v>
      </c>
      <c r="I76" s="347" t="e">
        <f>+#REF!</f>
        <v>#REF!</v>
      </c>
      <c r="J76" s="118" t="e">
        <f t="shared" si="6"/>
        <v>#REF!</v>
      </c>
    </row>
    <row r="77" spans="1:10" x14ac:dyDescent="0.25">
      <c r="A77" s="184" t="s">
        <v>171</v>
      </c>
      <c r="B77" s="182">
        <v>5004</v>
      </c>
      <c r="C77" s="99">
        <f>+'Mgt account 15-16'!C84</f>
        <v>1792.59654</v>
      </c>
      <c r="D77" s="99">
        <f>+'Mgt account 15-16'!E84</f>
        <v>1479.41</v>
      </c>
      <c r="E77" s="118">
        <f t="shared" si="7"/>
        <v>313.18653999999992</v>
      </c>
      <c r="I77" s="347" t="e">
        <f>+#REF!</f>
        <v>#REF!</v>
      </c>
      <c r="J77" s="118" t="e">
        <f t="shared" si="6"/>
        <v>#REF!</v>
      </c>
    </row>
    <row r="78" spans="1:10" x14ac:dyDescent="0.25">
      <c r="A78" s="184" t="s">
        <v>318</v>
      </c>
      <c r="B78" s="182">
        <v>5005</v>
      </c>
      <c r="C78" s="99">
        <f>+'Mgt account 15-16'!C85</f>
        <v>9198</v>
      </c>
      <c r="D78" s="99">
        <f>+'Mgt account 15-16'!E85</f>
        <v>3688.9</v>
      </c>
      <c r="E78" s="118">
        <f t="shared" si="7"/>
        <v>5509.1</v>
      </c>
      <c r="I78" s="347" t="e">
        <f>+#REF!</f>
        <v>#REF!</v>
      </c>
      <c r="J78" s="118" t="e">
        <f t="shared" si="6"/>
        <v>#REF!</v>
      </c>
    </row>
    <row r="79" spans="1:10" x14ac:dyDescent="0.25">
      <c r="A79" s="183" t="s">
        <v>61</v>
      </c>
      <c r="B79" s="182">
        <v>5020</v>
      </c>
      <c r="C79" s="99">
        <f>+'Mgt account 15-16'!C87</f>
        <v>0</v>
      </c>
      <c r="D79" s="99">
        <f>+'Mgt account 15-16'!E87</f>
        <v>18.75</v>
      </c>
      <c r="E79" s="118">
        <f t="shared" si="7"/>
        <v>-18.75</v>
      </c>
      <c r="I79" s="347" t="e">
        <f>+#REF!</f>
        <v>#REF!</v>
      </c>
      <c r="J79" s="118" t="e">
        <f t="shared" si="6"/>
        <v>#REF!</v>
      </c>
    </row>
    <row r="80" spans="1:10" x14ac:dyDescent="0.25">
      <c r="A80" s="183" t="s">
        <v>62</v>
      </c>
      <c r="B80" s="133">
        <v>5030</v>
      </c>
      <c r="C80" s="99">
        <f>+'Mgt account 15-16'!C88</f>
        <v>459.89999999999964</v>
      </c>
      <c r="D80" s="99">
        <f>+'Mgt account 15-16'!E88</f>
        <v>0</v>
      </c>
      <c r="E80" s="118">
        <f t="shared" si="7"/>
        <v>459.89999999999964</v>
      </c>
      <c r="I80" s="347" t="e">
        <f>+#REF!</f>
        <v>#REF!</v>
      </c>
      <c r="J80" s="118" t="e">
        <f t="shared" si="6"/>
        <v>#REF!</v>
      </c>
    </row>
    <row r="81" spans="1:14" x14ac:dyDescent="0.25">
      <c r="A81" s="183" t="s">
        <v>65</v>
      </c>
      <c r="B81" s="133">
        <v>8050</v>
      </c>
      <c r="C81" s="99">
        <f>+'Mgt account 15-16'!C92</f>
        <v>1200</v>
      </c>
      <c r="D81" s="99">
        <f>+'Mgt account 15-16'!E92</f>
        <v>471.86</v>
      </c>
      <c r="E81" s="118">
        <f t="shared" si="7"/>
        <v>728.14</v>
      </c>
      <c r="I81" s="347" t="e">
        <f>+#REF!</f>
        <v>#REF!</v>
      </c>
      <c r="J81" s="118" t="e">
        <f t="shared" si="6"/>
        <v>#REF!</v>
      </c>
    </row>
    <row r="82" spans="1:14" x14ac:dyDescent="0.25">
      <c r="A82" s="183" t="s">
        <v>93</v>
      </c>
      <c r="B82" s="133">
        <v>8056</v>
      </c>
      <c r="C82" s="99">
        <f>+'Mgt account 15-16'!C93</f>
        <v>100</v>
      </c>
      <c r="D82" s="99">
        <f>+'Mgt account 15-16'!E93</f>
        <v>0</v>
      </c>
      <c r="E82" s="118">
        <f t="shared" si="7"/>
        <v>100</v>
      </c>
      <c r="I82" s="347">
        <v>0</v>
      </c>
      <c r="J82" s="118">
        <f t="shared" si="6"/>
        <v>100</v>
      </c>
    </row>
    <row r="83" spans="1:14" ht="13.8" thickBot="1" x14ac:dyDescent="0.3">
      <c r="A83" s="185" t="s">
        <v>66</v>
      </c>
      <c r="B83" s="133">
        <v>7120</v>
      </c>
      <c r="C83" s="99">
        <f>+'Mgt account 15-16'!C94</f>
        <v>0</v>
      </c>
      <c r="D83" s="99">
        <f>+'Mgt account 15-16'!E94</f>
        <v>39.770000000000003</v>
      </c>
      <c r="E83" s="118">
        <f t="shared" si="7"/>
        <v>-39.770000000000003</v>
      </c>
      <c r="G83">
        <v>1900</v>
      </c>
      <c r="I83" s="347" t="e">
        <f>+#REF!</f>
        <v>#REF!</v>
      </c>
      <c r="J83" s="118" t="e">
        <f t="shared" si="6"/>
        <v>#REF!</v>
      </c>
    </row>
    <row r="84" spans="1:14" ht="13.8" thickBot="1" x14ac:dyDescent="0.3">
      <c r="A84" s="11" t="s">
        <v>190</v>
      </c>
      <c r="B84" s="28"/>
      <c r="C84" s="96">
        <f>SUM(C74:C83)</f>
        <v>25821.096539999999</v>
      </c>
      <c r="D84" s="96">
        <f>SUM(D74:D83)</f>
        <v>28408.83</v>
      </c>
      <c r="E84" s="96">
        <f>SUM(E74:E83)</f>
        <v>-2587.7334600000004</v>
      </c>
      <c r="F84" s="9">
        <f>C84-'[1]Mgt Account Dec 07'!C91</f>
        <v>-11878.903460000001</v>
      </c>
      <c r="G84">
        <f>4500</f>
        <v>4500</v>
      </c>
      <c r="I84" s="96" t="e">
        <f>SUM(I74:I83)</f>
        <v>#REF!</v>
      </c>
      <c r="J84" s="96" t="e">
        <f>SUM(J74:J83)</f>
        <v>#REF!</v>
      </c>
      <c r="N84" s="135">
        <f>C84+C126+C132+C122</f>
        <v>45471.317175789583</v>
      </c>
    </row>
    <row r="85" spans="1:14" ht="13.8" thickBot="1" x14ac:dyDescent="0.3">
      <c r="A85" s="1"/>
      <c r="B85" s="33"/>
      <c r="C85" s="112" t="s">
        <v>131</v>
      </c>
      <c r="G85">
        <v>9300</v>
      </c>
    </row>
    <row r="86" spans="1:14" ht="27" thickBot="1" x14ac:dyDescent="0.3">
      <c r="A86" s="11" t="s">
        <v>191</v>
      </c>
      <c r="B86" s="12" t="s">
        <v>2</v>
      </c>
      <c r="C86" s="109" t="str">
        <f>+C73</f>
        <v>Budget for 2015-2016</v>
      </c>
      <c r="D86" s="114" t="s">
        <v>184</v>
      </c>
      <c r="E86" s="114" t="str">
        <f>E73</f>
        <v>Variance</v>
      </c>
      <c r="G86">
        <f>SUM(G83:G85)</f>
        <v>15700</v>
      </c>
      <c r="I86" s="114" t="s">
        <v>184</v>
      </c>
      <c r="J86" s="114" t="str">
        <f>+J73</f>
        <v>Variance</v>
      </c>
    </row>
    <row r="87" spans="1:14" ht="13.8" thickBot="1" x14ac:dyDescent="0.3">
      <c r="A87" s="8" t="s">
        <v>41</v>
      </c>
      <c r="B87" s="27">
        <v>6130</v>
      </c>
      <c r="C87" s="99">
        <f>+'Mgt account 15-16'!C58</f>
        <v>3500</v>
      </c>
      <c r="D87" s="99">
        <f>+'Mgt account 15-16'!E58</f>
        <v>3900</v>
      </c>
      <c r="E87" s="118">
        <f>C87-D87</f>
        <v>-400</v>
      </c>
      <c r="I87" s="127" t="e">
        <f>+#REF!</f>
        <v>#REF!</v>
      </c>
      <c r="J87" s="118" t="e">
        <f>+C87-I87</f>
        <v>#REF!</v>
      </c>
    </row>
    <row r="88" spans="1:14" ht="13.8" thickBot="1" x14ac:dyDescent="0.3">
      <c r="A88" s="11" t="s">
        <v>192</v>
      </c>
      <c r="B88" s="26"/>
      <c r="C88" s="96">
        <f>SUM(C87)</f>
        <v>3500</v>
      </c>
      <c r="D88" s="128">
        <f>SUM(D87)</f>
        <v>3900</v>
      </c>
      <c r="E88" s="128">
        <f>SUM(E87)</f>
        <v>-400</v>
      </c>
      <c r="I88" s="128" t="e">
        <f>SUM(I87)</f>
        <v>#REF!</v>
      </c>
      <c r="J88" s="128" t="e">
        <f>SUM(J87)</f>
        <v>#REF!</v>
      </c>
    </row>
    <row r="89" spans="1:14" ht="13.8" thickBot="1" x14ac:dyDescent="0.3">
      <c r="A89" s="1"/>
      <c r="B89" s="33"/>
    </row>
    <row r="90" spans="1:14" ht="27" thickBot="1" x14ac:dyDescent="0.3">
      <c r="A90" s="11" t="s">
        <v>170</v>
      </c>
      <c r="B90" s="12" t="s">
        <v>2</v>
      </c>
      <c r="C90" s="109" t="str">
        <f>+C86</f>
        <v>Budget for 2015-2016</v>
      </c>
      <c r="D90" s="114" t="s">
        <v>184</v>
      </c>
      <c r="E90" s="114" t="str">
        <f>E86</f>
        <v>Variance</v>
      </c>
      <c r="I90" s="114" t="s">
        <v>184</v>
      </c>
      <c r="J90" s="114" t="str">
        <f>J86</f>
        <v>Variance</v>
      </c>
    </row>
    <row r="91" spans="1:14" x14ac:dyDescent="0.25">
      <c r="A91" s="8" t="s">
        <v>178</v>
      </c>
      <c r="B91" s="27">
        <v>6000</v>
      </c>
      <c r="C91" s="99">
        <f>+'Mgt account 15-16'!C41</f>
        <v>3000</v>
      </c>
      <c r="D91" s="99">
        <f>+'Mgt account 15-16'!E41</f>
        <v>2099.19</v>
      </c>
      <c r="E91" s="118">
        <f>C91-D91</f>
        <v>900.81</v>
      </c>
      <c r="I91" s="347" t="e">
        <f>+#REF!</f>
        <v>#REF!</v>
      </c>
      <c r="J91" s="118" t="e">
        <f t="shared" ref="J91:J122" si="8">+C91-I91</f>
        <v>#REF!</v>
      </c>
    </row>
    <row r="92" spans="1:14" x14ac:dyDescent="0.25">
      <c r="A92" s="8" t="s">
        <v>24</v>
      </c>
      <c r="B92" s="27">
        <v>6040</v>
      </c>
      <c r="C92" s="99">
        <f>+'Mgt account 15-16'!C42</f>
        <v>0</v>
      </c>
      <c r="D92" s="99">
        <f>+'Mgt account 15-16'!E42</f>
        <v>0</v>
      </c>
      <c r="E92" s="118">
        <f t="shared" ref="E92:E122" si="9">C92-D92</f>
        <v>0</v>
      </c>
      <c r="I92" s="347" t="e">
        <f>+#REF!</f>
        <v>#REF!</v>
      </c>
      <c r="J92" s="118" t="e">
        <f t="shared" si="8"/>
        <v>#REF!</v>
      </c>
    </row>
    <row r="93" spans="1:14" x14ac:dyDescent="0.25">
      <c r="A93" s="8" t="s">
        <v>25</v>
      </c>
      <c r="B93" s="27">
        <v>6020</v>
      </c>
      <c r="C93" s="99">
        <f>+'Mgt account 15-16'!C43</f>
        <v>5000</v>
      </c>
      <c r="D93" s="99">
        <f>+'Mgt account 15-16'!E43</f>
        <v>4432.38</v>
      </c>
      <c r="E93" s="118">
        <f t="shared" si="9"/>
        <v>567.61999999999989</v>
      </c>
      <c r="I93" s="347" t="e">
        <f>+#REF!</f>
        <v>#REF!</v>
      </c>
      <c r="J93" s="118" t="e">
        <f t="shared" si="8"/>
        <v>#REF!</v>
      </c>
    </row>
    <row r="94" spans="1:14" x14ac:dyDescent="0.25">
      <c r="A94" s="8" t="s">
        <v>26</v>
      </c>
      <c r="B94" s="27">
        <v>6023</v>
      </c>
      <c r="C94" s="99">
        <f>+'Mgt account 15-16'!C44</f>
        <v>0</v>
      </c>
      <c r="D94" s="99">
        <f>+'Mgt account 15-16'!E44</f>
        <v>0</v>
      </c>
      <c r="E94" s="118">
        <f t="shared" si="9"/>
        <v>0</v>
      </c>
      <c r="I94" s="347" t="e">
        <f>+#REF!</f>
        <v>#REF!</v>
      </c>
      <c r="J94" s="118" t="e">
        <f t="shared" si="8"/>
        <v>#REF!</v>
      </c>
    </row>
    <row r="95" spans="1:14" x14ac:dyDescent="0.25">
      <c r="A95" s="8" t="s">
        <v>287</v>
      </c>
      <c r="B95" s="27">
        <v>6026</v>
      </c>
      <c r="C95" s="99">
        <f>+'Mgt account 15-16'!C45</f>
        <v>500</v>
      </c>
      <c r="D95" s="99">
        <f>+'Mgt account 15-16'!E45</f>
        <v>320</v>
      </c>
      <c r="E95" s="118">
        <f t="shared" si="9"/>
        <v>180</v>
      </c>
      <c r="I95" s="347" t="e">
        <f>+#REF!</f>
        <v>#REF!</v>
      </c>
      <c r="J95" s="118" t="e">
        <f t="shared" si="8"/>
        <v>#REF!</v>
      </c>
    </row>
    <row r="96" spans="1:14" x14ac:dyDescent="0.25">
      <c r="A96" s="8" t="s">
        <v>28</v>
      </c>
      <c r="B96" s="27">
        <v>6027</v>
      </c>
      <c r="C96" s="99">
        <f>+'Mgt account 15-16'!C46</f>
        <v>0</v>
      </c>
      <c r="D96" s="99">
        <f>+'Mgt account 15-16'!E46</f>
        <v>0</v>
      </c>
      <c r="E96" s="118">
        <f t="shared" si="9"/>
        <v>0</v>
      </c>
      <c r="I96" s="347" t="e">
        <f>+#REF!</f>
        <v>#REF!</v>
      </c>
      <c r="J96" s="118" t="e">
        <f t="shared" si="8"/>
        <v>#REF!</v>
      </c>
    </row>
    <row r="97" spans="1:10" x14ac:dyDescent="0.25">
      <c r="A97" s="8" t="s">
        <v>298</v>
      </c>
      <c r="B97" s="27">
        <v>6034</v>
      </c>
      <c r="C97" s="99">
        <f>+'Mgt account 15-16'!C47</f>
        <v>300</v>
      </c>
      <c r="D97" s="99">
        <f>+'Mgt account 15-16'!E47</f>
        <v>0</v>
      </c>
      <c r="E97" s="118">
        <f t="shared" si="9"/>
        <v>300</v>
      </c>
      <c r="I97" s="347" t="e">
        <f>+#REF!</f>
        <v>#REF!</v>
      </c>
      <c r="J97" s="118" t="e">
        <f t="shared" si="8"/>
        <v>#REF!</v>
      </c>
    </row>
    <row r="98" spans="1:10" x14ac:dyDescent="0.25">
      <c r="A98" s="8" t="s">
        <v>29</v>
      </c>
      <c r="B98" s="27">
        <v>6035</v>
      </c>
      <c r="C98" s="99">
        <f>+'Mgt account 15-16'!C48</f>
        <v>300</v>
      </c>
      <c r="D98" s="99">
        <f>+'Mgt account 15-16'!E48</f>
        <v>180</v>
      </c>
      <c r="E98" s="118">
        <f t="shared" si="9"/>
        <v>120</v>
      </c>
      <c r="I98" s="347" t="e">
        <f>+#REF!</f>
        <v>#REF!</v>
      </c>
      <c r="J98" s="118" t="e">
        <f t="shared" si="8"/>
        <v>#REF!</v>
      </c>
    </row>
    <row r="99" spans="1:10" x14ac:dyDescent="0.25">
      <c r="A99" s="8" t="s">
        <v>30</v>
      </c>
      <c r="B99" s="27">
        <v>6036</v>
      </c>
      <c r="C99" s="99">
        <f>+'Mgt account 15-16'!C49</f>
        <v>400</v>
      </c>
      <c r="D99" s="99">
        <f>+'Mgt account 15-16'!E49</f>
        <v>0</v>
      </c>
      <c r="E99" s="118">
        <f t="shared" si="9"/>
        <v>400</v>
      </c>
      <c r="I99" s="347" t="e">
        <f>+#REF!</f>
        <v>#REF!</v>
      </c>
      <c r="J99" s="118" t="e">
        <f t="shared" si="8"/>
        <v>#REF!</v>
      </c>
    </row>
    <row r="100" spans="1:10" x14ac:dyDescent="0.25">
      <c r="A100" s="8" t="s">
        <v>31</v>
      </c>
      <c r="B100" s="27">
        <v>6037</v>
      </c>
      <c r="C100" s="99">
        <f>+'Mgt account 15-16'!C50</f>
        <v>0</v>
      </c>
      <c r="D100" s="99">
        <f>+'Mgt account 15-16'!E50</f>
        <v>0</v>
      </c>
      <c r="E100" s="118">
        <f t="shared" si="9"/>
        <v>0</v>
      </c>
      <c r="I100" s="347" t="e">
        <f>+#REF!</f>
        <v>#REF!</v>
      </c>
      <c r="J100" s="118" t="e">
        <f t="shared" si="8"/>
        <v>#REF!</v>
      </c>
    </row>
    <row r="101" spans="1:10" x14ac:dyDescent="0.25">
      <c r="A101" s="8" t="s">
        <v>32</v>
      </c>
      <c r="B101" s="27">
        <v>6038</v>
      </c>
      <c r="C101" s="99">
        <f>+'Mgt account 15-16'!C51</f>
        <v>0</v>
      </c>
      <c r="D101" s="99">
        <f>+'Mgt account 15-16'!E51</f>
        <v>0</v>
      </c>
      <c r="E101" s="118">
        <f t="shared" si="9"/>
        <v>0</v>
      </c>
      <c r="I101" s="347" t="e">
        <f>+#REF!</f>
        <v>#REF!</v>
      </c>
      <c r="J101" s="118" t="e">
        <f t="shared" si="8"/>
        <v>#REF!</v>
      </c>
    </row>
    <row r="102" spans="1:10" x14ac:dyDescent="0.25">
      <c r="A102" s="8" t="s">
        <v>33</v>
      </c>
      <c r="B102" s="27">
        <v>6039</v>
      </c>
      <c r="C102" s="99">
        <f>+'Mgt account 15-16'!C52</f>
        <v>0</v>
      </c>
      <c r="D102" s="99">
        <f>+'Mgt account 15-16'!E52</f>
        <v>-1600</v>
      </c>
      <c r="E102" s="118">
        <f t="shared" si="9"/>
        <v>1600</v>
      </c>
      <c r="I102" s="347" t="e">
        <f>+#REF!</f>
        <v>#REF!</v>
      </c>
      <c r="J102" s="118" t="e">
        <f t="shared" si="8"/>
        <v>#REF!</v>
      </c>
    </row>
    <row r="103" spans="1:10" x14ac:dyDescent="0.25">
      <c r="A103" s="8" t="s">
        <v>193</v>
      </c>
      <c r="B103" s="27">
        <v>6045</v>
      </c>
      <c r="C103" s="99">
        <f>+'Mgt account 15-16'!C54</f>
        <v>0</v>
      </c>
      <c r="D103" s="99">
        <f>+'Mgt account 15-16'!E54</f>
        <v>0</v>
      </c>
      <c r="E103" s="118">
        <f t="shared" si="9"/>
        <v>0</v>
      </c>
      <c r="I103" s="347">
        <v>0</v>
      </c>
      <c r="J103" s="118">
        <f t="shared" si="8"/>
        <v>0</v>
      </c>
    </row>
    <row r="104" spans="1:10" x14ac:dyDescent="0.25">
      <c r="A104" s="8" t="s">
        <v>36</v>
      </c>
      <c r="B104" s="74">
        <v>6061</v>
      </c>
      <c r="C104" s="99">
        <v>0</v>
      </c>
      <c r="D104" s="99">
        <v>0</v>
      </c>
      <c r="E104" s="118">
        <f t="shared" si="9"/>
        <v>0</v>
      </c>
      <c r="I104" s="347" t="e">
        <f>+#REF!</f>
        <v>#REF!</v>
      </c>
      <c r="J104" s="118" t="e">
        <f t="shared" si="8"/>
        <v>#REF!</v>
      </c>
    </row>
    <row r="105" spans="1:10" x14ac:dyDescent="0.25">
      <c r="A105" s="8" t="s">
        <v>37</v>
      </c>
      <c r="B105" s="27">
        <v>6080</v>
      </c>
      <c r="C105" s="99">
        <f>+'Mgt account 15-16'!C55</f>
        <v>0</v>
      </c>
      <c r="D105" s="99">
        <f>+'Mgt account 15-16'!E55</f>
        <v>4756.78</v>
      </c>
      <c r="E105" s="118">
        <f t="shared" si="9"/>
        <v>-4756.78</v>
      </c>
      <c r="I105" s="347">
        <v>0</v>
      </c>
      <c r="J105" s="118">
        <f t="shared" si="8"/>
        <v>0</v>
      </c>
    </row>
    <row r="106" spans="1:10" x14ac:dyDescent="0.25">
      <c r="A106" s="8" t="s">
        <v>38</v>
      </c>
      <c r="B106" s="27">
        <v>6082</v>
      </c>
      <c r="C106" s="99">
        <f>+'Mgt account 15-16'!C56</f>
        <v>100</v>
      </c>
      <c r="D106" s="99">
        <f>+'Mgt account 15-16'!E56</f>
        <v>0</v>
      </c>
      <c r="E106" s="118">
        <f t="shared" si="9"/>
        <v>100</v>
      </c>
      <c r="I106" s="347">
        <v>0</v>
      </c>
      <c r="J106" s="118">
        <f t="shared" si="8"/>
        <v>100</v>
      </c>
    </row>
    <row r="107" spans="1:10" x14ac:dyDescent="0.25">
      <c r="A107" s="8" t="s">
        <v>40</v>
      </c>
      <c r="B107" s="27">
        <v>6120</v>
      </c>
      <c r="C107" s="99">
        <f>+'Mgt account 15-16'!C57</f>
        <v>0</v>
      </c>
      <c r="D107" s="99">
        <f>+'Mgt account 15-16'!D57</f>
        <v>0</v>
      </c>
      <c r="E107" s="118">
        <f t="shared" si="9"/>
        <v>0</v>
      </c>
      <c r="I107" s="347" t="e">
        <f>+#REF!</f>
        <v>#REF!</v>
      </c>
      <c r="J107" s="118" t="e">
        <f t="shared" si="8"/>
        <v>#REF!</v>
      </c>
    </row>
    <row r="108" spans="1:10" x14ac:dyDescent="0.25">
      <c r="A108" s="8" t="s">
        <v>43</v>
      </c>
      <c r="B108" s="27">
        <v>6141</v>
      </c>
      <c r="C108" s="99">
        <f>+'Mgt account 15-16'!C60</f>
        <v>100</v>
      </c>
      <c r="D108" s="99">
        <f>+'Mgt account 15-16'!E60</f>
        <v>39.93</v>
      </c>
      <c r="E108" s="118">
        <f t="shared" si="9"/>
        <v>60.07</v>
      </c>
      <c r="I108" s="347" t="e">
        <f>+#REF!</f>
        <v>#REF!</v>
      </c>
      <c r="J108" s="118" t="e">
        <f t="shared" si="8"/>
        <v>#REF!</v>
      </c>
    </row>
    <row r="109" spans="1:10" x14ac:dyDescent="0.25">
      <c r="A109" s="8" t="s">
        <v>44</v>
      </c>
      <c r="B109" s="27">
        <v>6142</v>
      </c>
      <c r="C109" s="99">
        <f>+'Mgt account 15-16'!C61</f>
        <v>100</v>
      </c>
      <c r="D109" s="99">
        <f>+'Mgt account 15-16'!E61</f>
        <v>0</v>
      </c>
      <c r="E109" s="118">
        <f t="shared" si="9"/>
        <v>100</v>
      </c>
      <c r="I109" s="347" t="e">
        <f>+#REF!</f>
        <v>#REF!</v>
      </c>
      <c r="J109" s="118" t="e">
        <f t="shared" si="8"/>
        <v>#REF!</v>
      </c>
    </row>
    <row r="110" spans="1:10" x14ac:dyDescent="0.25">
      <c r="A110" s="8" t="s">
        <v>45</v>
      </c>
      <c r="B110" s="27">
        <v>6147</v>
      </c>
      <c r="C110" s="99">
        <f>+'Mgt account 15-16'!C62</f>
        <v>1500</v>
      </c>
      <c r="D110" s="99">
        <f>+'Mgt account 15-16'!E62</f>
        <v>3867.28</v>
      </c>
      <c r="E110" s="118">
        <f t="shared" si="9"/>
        <v>-2367.2800000000002</v>
      </c>
      <c r="I110" s="347" t="e">
        <f>+#REF!</f>
        <v>#REF!</v>
      </c>
      <c r="J110" s="118" t="e">
        <f t="shared" si="8"/>
        <v>#REF!</v>
      </c>
    </row>
    <row r="111" spans="1:10" x14ac:dyDescent="0.25">
      <c r="A111" s="8" t="s">
        <v>48</v>
      </c>
      <c r="B111" s="27">
        <v>6170</v>
      </c>
      <c r="C111" s="99">
        <f>+'Mgt account 15-16'!C63</f>
        <v>0</v>
      </c>
      <c r="D111" s="99">
        <f>+'Mgt account 15-16'!E63</f>
        <v>0</v>
      </c>
      <c r="E111" s="118">
        <f t="shared" si="9"/>
        <v>0</v>
      </c>
      <c r="I111" s="347" t="e">
        <f>+#REF!</f>
        <v>#REF!</v>
      </c>
      <c r="J111" s="118" t="e">
        <f t="shared" si="8"/>
        <v>#REF!</v>
      </c>
    </row>
    <row r="112" spans="1:10" x14ac:dyDescent="0.25">
      <c r="A112" s="8" t="s">
        <v>49</v>
      </c>
      <c r="B112" s="27">
        <v>6171</v>
      </c>
      <c r="C112" s="99">
        <f>+'Mgt account 15-16'!C66</f>
        <v>150</v>
      </c>
      <c r="D112" s="99">
        <f>+'Mgt account 15-16'!E66</f>
        <v>0</v>
      </c>
      <c r="E112" s="118">
        <f t="shared" si="9"/>
        <v>150</v>
      </c>
      <c r="I112" s="347" t="e">
        <f>+#REF!</f>
        <v>#REF!</v>
      </c>
      <c r="J112" s="118" t="e">
        <f t="shared" si="8"/>
        <v>#REF!</v>
      </c>
    </row>
    <row r="113" spans="1:16" x14ac:dyDescent="0.25">
      <c r="A113" s="8" t="s">
        <v>51</v>
      </c>
      <c r="B113" s="27">
        <v>6180</v>
      </c>
      <c r="C113" s="99">
        <f>+'Mgt account 15-16'!C68</f>
        <v>0</v>
      </c>
      <c r="D113" s="99">
        <f>+'Mgt account 15-16'!E68</f>
        <v>0</v>
      </c>
      <c r="E113" s="118">
        <f t="shared" si="9"/>
        <v>0</v>
      </c>
      <c r="I113" s="347" t="e">
        <f>+#REF!</f>
        <v>#REF!</v>
      </c>
      <c r="J113" s="118" t="e">
        <f t="shared" si="8"/>
        <v>#REF!</v>
      </c>
    </row>
    <row r="114" spans="1:16" x14ac:dyDescent="0.25">
      <c r="A114" s="8" t="s">
        <v>52</v>
      </c>
      <c r="B114" s="27">
        <v>6183</v>
      </c>
      <c r="C114" s="99">
        <v>0</v>
      </c>
      <c r="D114" s="99">
        <v>0</v>
      </c>
      <c r="E114" s="118">
        <f t="shared" si="9"/>
        <v>0</v>
      </c>
      <c r="I114" s="347" t="e">
        <f>+#REF!</f>
        <v>#REF!</v>
      </c>
      <c r="J114" s="118" t="e">
        <f t="shared" si="8"/>
        <v>#REF!</v>
      </c>
    </row>
    <row r="115" spans="1:16" x14ac:dyDescent="0.25">
      <c r="A115" s="8" t="s">
        <v>53</v>
      </c>
      <c r="B115" s="27">
        <v>6185</v>
      </c>
      <c r="C115" s="99">
        <f>+'Mgt account 15-16'!C67</f>
        <v>0</v>
      </c>
      <c r="D115" s="99">
        <f>+'Mgt account 15-16'!D67</f>
        <v>0</v>
      </c>
      <c r="E115" s="118">
        <f t="shared" si="9"/>
        <v>0</v>
      </c>
      <c r="I115" s="347" t="e">
        <f>+#REF!</f>
        <v>#REF!</v>
      </c>
      <c r="J115" s="118" t="e">
        <f t="shared" si="8"/>
        <v>#REF!</v>
      </c>
    </row>
    <row r="116" spans="1:16" x14ac:dyDescent="0.25">
      <c r="A116" s="8" t="s">
        <v>54</v>
      </c>
      <c r="B116" s="27">
        <v>6190</v>
      </c>
      <c r="C116" s="99">
        <v>0</v>
      </c>
      <c r="D116" s="99">
        <f>+'Mgt account 15-16'!E71</f>
        <v>726.67</v>
      </c>
      <c r="E116" s="118">
        <f t="shared" si="9"/>
        <v>-726.67</v>
      </c>
      <c r="I116" s="347" t="e">
        <f>+#REF!</f>
        <v>#REF!</v>
      </c>
      <c r="J116" s="118" t="e">
        <f t="shared" si="8"/>
        <v>#REF!</v>
      </c>
    </row>
    <row r="117" spans="1:16" x14ac:dyDescent="0.25">
      <c r="A117" s="8" t="s">
        <v>56</v>
      </c>
      <c r="B117" s="27">
        <v>6196</v>
      </c>
      <c r="C117" s="99">
        <f>+'Mgt account 15-16'!C69</f>
        <v>100</v>
      </c>
      <c r="D117" s="99">
        <f>+'Mgt account 15-16'!E73</f>
        <v>0</v>
      </c>
      <c r="E117" s="118">
        <f t="shared" si="9"/>
        <v>100</v>
      </c>
      <c r="I117" s="347" t="e">
        <f>+#REF!</f>
        <v>#REF!</v>
      </c>
      <c r="J117" s="118" t="e">
        <f t="shared" si="8"/>
        <v>#REF!</v>
      </c>
    </row>
    <row r="118" spans="1:16" x14ac:dyDescent="0.25">
      <c r="A118" s="8" t="s">
        <v>57</v>
      </c>
      <c r="B118" s="27">
        <v>6197</v>
      </c>
      <c r="C118" s="99">
        <f>+'Mgt account 15-16'!C70</f>
        <v>0</v>
      </c>
      <c r="D118" s="99">
        <f>+'Mgt account 15-16'!D70</f>
        <v>0</v>
      </c>
      <c r="E118" s="118">
        <f t="shared" si="9"/>
        <v>0</v>
      </c>
      <c r="I118" s="347" t="e">
        <f>+#REF!</f>
        <v>#REF!</v>
      </c>
      <c r="J118" s="118" t="e">
        <f t="shared" si="8"/>
        <v>#REF!</v>
      </c>
    </row>
    <row r="119" spans="1:16" x14ac:dyDescent="0.25">
      <c r="A119" s="8" t="s">
        <v>58</v>
      </c>
      <c r="B119" s="27">
        <v>6200</v>
      </c>
      <c r="C119" s="99">
        <f>+'Mgt account 15-16'!C71</f>
        <v>1000</v>
      </c>
      <c r="D119" s="99">
        <f>+'Mgt account 15-16'!E75</f>
        <v>25.94</v>
      </c>
      <c r="E119" s="118">
        <f t="shared" si="9"/>
        <v>974.06</v>
      </c>
      <c r="I119" s="347" t="e">
        <f>+#REF!</f>
        <v>#REF!</v>
      </c>
      <c r="J119" s="118" t="e">
        <f t="shared" si="8"/>
        <v>#REF!</v>
      </c>
    </row>
    <row r="120" spans="1:16" x14ac:dyDescent="0.25">
      <c r="A120" s="8" t="s">
        <v>59</v>
      </c>
      <c r="B120" s="27">
        <v>6202</v>
      </c>
      <c r="C120" s="99">
        <f>+'Mgt account 15-16'!C72</f>
        <v>0</v>
      </c>
      <c r="D120" s="99">
        <f>+'Mgt account 15-16'!D72</f>
        <v>0</v>
      </c>
      <c r="E120" s="118">
        <f t="shared" si="9"/>
        <v>0</v>
      </c>
      <c r="I120" s="347" t="e">
        <f>+#REF!</f>
        <v>#REF!</v>
      </c>
      <c r="J120" s="118" t="e">
        <f t="shared" si="8"/>
        <v>#REF!</v>
      </c>
    </row>
    <row r="121" spans="1:16" x14ac:dyDescent="0.25">
      <c r="A121" s="8" t="s">
        <v>194</v>
      </c>
      <c r="B121" s="27">
        <v>5046</v>
      </c>
      <c r="C121" s="99">
        <f>+'Mgt account 15-16'!C73</f>
        <v>0</v>
      </c>
      <c r="D121" s="99">
        <f>+'Mgt account 15-16'!D73</f>
        <v>0</v>
      </c>
      <c r="E121" s="118">
        <f t="shared" si="9"/>
        <v>0</v>
      </c>
      <c r="I121" s="347">
        <v>0</v>
      </c>
      <c r="J121" s="118">
        <f t="shared" si="8"/>
        <v>0</v>
      </c>
    </row>
    <row r="122" spans="1:16" ht="13.8" thickBot="1" x14ac:dyDescent="0.3">
      <c r="A122" s="8" t="s">
        <v>64</v>
      </c>
      <c r="B122" s="27">
        <v>5045</v>
      </c>
      <c r="C122" s="99">
        <f>+'Mgt account 15-16'!C91</f>
        <v>2000</v>
      </c>
      <c r="D122" s="99">
        <f>+'Mgt account 15-16'!E91</f>
        <v>2500</v>
      </c>
      <c r="E122" s="118">
        <f t="shared" si="9"/>
        <v>-500</v>
      </c>
      <c r="G122" s="9">
        <f>C122-G123</f>
        <v>4400</v>
      </c>
      <c r="I122" s="347" t="e">
        <f>+#REF!</f>
        <v>#REF!</v>
      </c>
      <c r="J122" s="118" t="e">
        <f t="shared" si="8"/>
        <v>#REF!</v>
      </c>
    </row>
    <row r="123" spans="1:16" ht="13.8" thickBot="1" x14ac:dyDescent="0.3">
      <c r="A123" s="745" t="s">
        <v>195</v>
      </c>
      <c r="B123" s="746"/>
      <c r="C123" s="96">
        <f>SUM(C91:C122)</f>
        <v>14550</v>
      </c>
      <c r="D123" s="128">
        <f>SUM(D91:D122)</f>
        <v>17348.169999999998</v>
      </c>
      <c r="E123" s="128">
        <f>SUM(E91:E122)</f>
        <v>-2798.17</v>
      </c>
      <c r="F123" s="9">
        <f>D123-D122-D121+D87</f>
        <v>18748.169999999998</v>
      </c>
      <c r="G123" s="9">
        <f>C123-'[1]Mgt Account Dec 07'!C73</f>
        <v>-2400</v>
      </c>
      <c r="I123" s="128" t="e">
        <f>SUM(I91:I122)</f>
        <v>#REF!</v>
      </c>
      <c r="J123" s="128" t="e">
        <f>SUM(J91:J122)</f>
        <v>#REF!</v>
      </c>
      <c r="O123" s="135"/>
      <c r="P123" s="180"/>
    </row>
    <row r="124" spans="1:16" ht="13.8" thickBot="1" x14ac:dyDescent="0.3">
      <c r="A124" s="1"/>
      <c r="B124" s="33"/>
      <c r="C124" s="103" t="s">
        <v>131</v>
      </c>
    </row>
    <row r="125" spans="1:16" ht="27" thickBot="1" x14ac:dyDescent="0.3">
      <c r="A125" s="11" t="s">
        <v>196</v>
      </c>
      <c r="B125" s="12" t="s">
        <v>2</v>
      </c>
      <c r="C125" s="109" t="str">
        <f>+C90</f>
        <v>Budget for 2015-2016</v>
      </c>
      <c r="D125" s="114" t="s">
        <v>184</v>
      </c>
      <c r="E125" s="114" t="str">
        <f>E90</f>
        <v>Variance</v>
      </c>
      <c r="I125" s="114" t="s">
        <v>184</v>
      </c>
      <c r="J125" s="114" t="str">
        <f>J90</f>
        <v>Variance</v>
      </c>
    </row>
    <row r="126" spans="1:16" x14ac:dyDescent="0.25">
      <c r="A126" s="8" t="s">
        <v>63</v>
      </c>
      <c r="B126" s="27">
        <v>5043</v>
      </c>
      <c r="C126" s="99">
        <f>+'Mgt account 15-16'!C90</f>
        <v>14999.687635789584</v>
      </c>
      <c r="D126" s="99">
        <f>+'Mgt account 15-16'!E90</f>
        <v>16767.18</v>
      </c>
      <c r="E126" s="118">
        <f>C126-D126</f>
        <v>-1767.4923642104168</v>
      </c>
      <c r="I126" s="129" t="e">
        <f>+#REF!</f>
        <v>#REF!</v>
      </c>
      <c r="J126" s="118" t="e">
        <f>+C126-I126</f>
        <v>#REF!</v>
      </c>
    </row>
    <row r="127" spans="1:16" x14ac:dyDescent="0.25">
      <c r="A127" s="8" t="s">
        <v>46</v>
      </c>
      <c r="B127" s="27">
        <v>6150</v>
      </c>
      <c r="C127" s="99">
        <v>0</v>
      </c>
      <c r="D127" s="130">
        <f>'[1]Mgt Account Dec 07'!E58</f>
        <v>0</v>
      </c>
      <c r="E127" s="118">
        <f>C127-D127</f>
        <v>0</v>
      </c>
      <c r="I127" s="130" t="e">
        <f>+#REF!</f>
        <v>#REF!</v>
      </c>
      <c r="J127" s="118" t="e">
        <f>+C127-I127</f>
        <v>#REF!</v>
      </c>
    </row>
    <row r="128" spans="1:16" ht="13.8" thickBot="1" x14ac:dyDescent="0.3">
      <c r="A128" s="8" t="s">
        <v>197</v>
      </c>
      <c r="B128" s="27">
        <v>6140</v>
      </c>
      <c r="C128" s="99">
        <f>+'Mgt account 15-16'!C59</f>
        <v>0</v>
      </c>
      <c r="D128" s="131">
        <f>+'Mgt account 15-16'!E59</f>
        <v>818.13</v>
      </c>
      <c r="E128" s="118">
        <f>C128-D128</f>
        <v>-818.13</v>
      </c>
      <c r="I128" s="131" t="e">
        <f>+#REF!</f>
        <v>#REF!</v>
      </c>
      <c r="J128" s="118" t="e">
        <f>+C128-I128</f>
        <v>#REF!</v>
      </c>
    </row>
    <row r="129" spans="1:10" ht="13.8" thickBot="1" x14ac:dyDescent="0.3">
      <c r="A129" s="11" t="s">
        <v>198</v>
      </c>
      <c r="B129" s="26"/>
      <c r="C129" s="96">
        <f>SUM(C126:C128)</f>
        <v>14999.687635789584</v>
      </c>
      <c r="D129" s="128">
        <f>SUM(D126:D128)</f>
        <v>17585.310000000001</v>
      </c>
      <c r="E129" s="128">
        <f>SUM(E126:E128)</f>
        <v>-2585.6223642104169</v>
      </c>
      <c r="I129" s="128" t="e">
        <f>SUM(I126:I128)</f>
        <v>#REF!</v>
      </c>
      <c r="J129" s="128" t="e">
        <f>SUM(J126:J128)</f>
        <v>#REF!</v>
      </c>
    </row>
    <row r="130" spans="1:10" ht="13.8" thickBot="1" x14ac:dyDescent="0.3">
      <c r="B130" s="22"/>
      <c r="C130" s="103">
        <v>0</v>
      </c>
    </row>
    <row r="131" spans="1:10" ht="27" thickBot="1" x14ac:dyDescent="0.3">
      <c r="A131" s="11" t="s">
        <v>47</v>
      </c>
      <c r="B131" s="12" t="s">
        <v>2</v>
      </c>
      <c r="C131" s="109" t="str">
        <f>+C125</f>
        <v>Budget for 2015-2016</v>
      </c>
      <c r="D131" s="114" t="s">
        <v>184</v>
      </c>
      <c r="E131" s="114" t="str">
        <f>E125</f>
        <v>Variance</v>
      </c>
      <c r="I131" s="114" t="s">
        <v>184</v>
      </c>
      <c r="J131" s="114" t="str">
        <f>J125</f>
        <v>Variance</v>
      </c>
    </row>
    <row r="132" spans="1:10" x14ac:dyDescent="0.25">
      <c r="A132" s="8" t="s">
        <v>140</v>
      </c>
      <c r="B132" s="27">
        <v>5042</v>
      </c>
      <c r="C132" s="99">
        <f>+'Mgt account 15-16'!C89</f>
        <v>2650.5330000000004</v>
      </c>
      <c r="D132" s="99">
        <f>+'Mgt account 15-16'!E89</f>
        <v>2939.25</v>
      </c>
      <c r="E132" s="118">
        <f>C132-D132</f>
        <v>-288.71699999999964</v>
      </c>
      <c r="I132" s="129" t="e">
        <f>+#REF!</f>
        <v>#REF!</v>
      </c>
      <c r="J132" s="118" t="e">
        <f>+C132-I132</f>
        <v>#REF!</v>
      </c>
    </row>
    <row r="133" spans="1:10" x14ac:dyDescent="0.25">
      <c r="A133" s="8" t="s">
        <v>47</v>
      </c>
      <c r="B133" s="27">
        <v>6160</v>
      </c>
      <c r="C133" s="99">
        <v>200</v>
      </c>
      <c r="D133" s="99">
        <f>+'Mgt account 15-16'!E64</f>
        <v>408</v>
      </c>
      <c r="E133" s="118">
        <f>C133-D133</f>
        <v>-208</v>
      </c>
      <c r="I133" s="129" t="e">
        <f>+#REF!</f>
        <v>#REF!</v>
      </c>
      <c r="J133" s="118" t="e">
        <f>+C133-I133</f>
        <v>#REF!</v>
      </c>
    </row>
    <row r="134" spans="1:10" ht="13.8" thickBot="1" x14ac:dyDescent="0.3">
      <c r="A134" s="8" t="s">
        <v>55</v>
      </c>
      <c r="B134" s="27">
        <v>6195</v>
      </c>
      <c r="C134" s="132">
        <f>+'Mgt account 15-16'!C72</f>
        <v>0</v>
      </c>
      <c r="D134" s="131">
        <f>'[1]Mgt Account Dec 07'!E67</f>
        <v>0</v>
      </c>
      <c r="E134" s="118">
        <f>C134-D134</f>
        <v>0</v>
      </c>
      <c r="I134" s="129" t="e">
        <f>+#REF!</f>
        <v>#REF!</v>
      </c>
      <c r="J134" s="118" t="e">
        <f>+C134-I134</f>
        <v>#REF!</v>
      </c>
    </row>
    <row r="135" spans="1:10" ht="13.8" thickBot="1" x14ac:dyDescent="0.3">
      <c r="A135" s="11" t="s">
        <v>199</v>
      </c>
      <c r="B135" s="26"/>
      <c r="C135" s="96">
        <f>SUM(C132:C134)</f>
        <v>2850.5330000000004</v>
      </c>
      <c r="D135" s="96">
        <f t="shared" ref="D135:J135" si="10">SUM(D132:D134)</f>
        <v>3347.25</v>
      </c>
      <c r="E135" s="96">
        <f t="shared" si="10"/>
        <v>-496.71699999999964</v>
      </c>
      <c r="F135" s="96">
        <f t="shared" si="10"/>
        <v>0</v>
      </c>
      <c r="G135" s="96">
        <f t="shared" si="10"/>
        <v>0</v>
      </c>
      <c r="H135" s="96">
        <f t="shared" si="10"/>
        <v>0</v>
      </c>
      <c r="I135" s="96" t="e">
        <f t="shared" si="10"/>
        <v>#REF!</v>
      </c>
      <c r="J135" s="96" t="e">
        <f t="shared" si="10"/>
        <v>#REF!</v>
      </c>
    </row>
    <row r="136" spans="1:10" ht="13.8" thickBot="1" x14ac:dyDescent="0.3">
      <c r="B136" s="22"/>
    </row>
    <row r="137" spans="1:10" ht="13.8" thickBot="1" x14ac:dyDescent="0.3">
      <c r="A137" s="11" t="s">
        <v>98</v>
      </c>
      <c r="B137" s="28"/>
      <c r="C137" s="96">
        <f t="shared" ref="C137:J137" si="11">C71+C123+C39+C135+C129+C88</f>
        <v>66340.220635789592</v>
      </c>
      <c r="D137" s="96">
        <f t="shared" si="11"/>
        <v>71592.849999999991</v>
      </c>
      <c r="E137" s="96">
        <f t="shared" si="11"/>
        <v>-5252.6293642104165</v>
      </c>
      <c r="F137" s="96">
        <f t="shared" si="11"/>
        <v>18748.169999999998</v>
      </c>
      <c r="G137" s="96">
        <f t="shared" si="11"/>
        <v>-4194.6569999999992</v>
      </c>
      <c r="H137" s="96">
        <f t="shared" si="11"/>
        <v>0</v>
      </c>
      <c r="I137" s="96" t="e">
        <f t="shared" si="11"/>
        <v>#REF!</v>
      </c>
      <c r="J137" s="96" t="e">
        <f t="shared" si="11"/>
        <v>#REF!</v>
      </c>
    </row>
    <row r="138" spans="1:10" ht="13.8" thickBot="1" x14ac:dyDescent="0.3">
      <c r="A138" s="1"/>
      <c r="B138" s="33"/>
    </row>
    <row r="139" spans="1:10" ht="27" thickBot="1" x14ac:dyDescent="0.3">
      <c r="A139" s="11" t="s">
        <v>99</v>
      </c>
      <c r="B139" s="12" t="s">
        <v>2</v>
      </c>
      <c r="C139" s="109" t="str">
        <f>+C131</f>
        <v>Budget for 2015-2016</v>
      </c>
      <c r="D139" s="114" t="s">
        <v>184</v>
      </c>
      <c r="E139" s="114" t="str">
        <f>E131</f>
        <v>Variance</v>
      </c>
      <c r="I139" s="114" t="s">
        <v>184</v>
      </c>
      <c r="J139" s="114" t="str">
        <f>J131</f>
        <v>Variance</v>
      </c>
    </row>
    <row r="140" spans="1:10" x14ac:dyDescent="0.25">
      <c r="A140" s="10" t="s">
        <v>100</v>
      </c>
      <c r="B140" s="36">
        <v>9000</v>
      </c>
      <c r="C140" s="78">
        <f>+'Mgt account 15-16'!C134</f>
        <v>7500</v>
      </c>
      <c r="D140" s="78">
        <f>+'Mgt account 15-16'!E134</f>
        <v>11132.01</v>
      </c>
      <c r="E140" s="118">
        <f t="shared" ref="E140:E160" si="12">C140-D140</f>
        <v>-3632.01</v>
      </c>
      <c r="I140" s="95" t="e">
        <f>+#REF!</f>
        <v>#REF!</v>
      </c>
      <c r="J140" s="118" t="e">
        <f t="shared" ref="J140:J160" si="13">+C140-I140</f>
        <v>#REF!</v>
      </c>
    </row>
    <row r="141" spans="1:10" x14ac:dyDescent="0.25">
      <c r="A141" s="8" t="s">
        <v>101</v>
      </c>
      <c r="B141" s="27">
        <v>9001</v>
      </c>
      <c r="C141" s="78">
        <f>+'Mgt account 15-16'!C135</f>
        <v>1500</v>
      </c>
      <c r="D141" s="78">
        <f>+'Mgt account 15-16'!E135</f>
        <v>1072.6500000000001</v>
      </c>
      <c r="E141" s="118">
        <f t="shared" si="12"/>
        <v>427.34999999999991</v>
      </c>
      <c r="I141" s="95" t="e">
        <f>+#REF!</f>
        <v>#REF!</v>
      </c>
      <c r="J141" s="118" t="e">
        <f t="shared" si="13"/>
        <v>#REF!</v>
      </c>
    </row>
    <row r="142" spans="1:10" x14ac:dyDescent="0.25">
      <c r="A142" s="8" t="s">
        <v>102</v>
      </c>
      <c r="B142" s="27">
        <v>9002</v>
      </c>
      <c r="C142" s="78">
        <f>+'Mgt account 15-16'!C136</f>
        <v>0</v>
      </c>
      <c r="D142" s="78">
        <f>+'Mgt account 15-16'!E136</f>
        <v>0</v>
      </c>
      <c r="E142" s="118">
        <f t="shared" si="12"/>
        <v>0</v>
      </c>
      <c r="I142" s="95" t="e">
        <f>+#REF!</f>
        <v>#REF!</v>
      </c>
      <c r="J142" s="118" t="e">
        <f t="shared" si="13"/>
        <v>#REF!</v>
      </c>
    </row>
    <row r="143" spans="1:10" x14ac:dyDescent="0.25">
      <c r="A143" s="8" t="s">
        <v>103</v>
      </c>
      <c r="B143" s="27">
        <v>9003</v>
      </c>
      <c r="C143" s="78">
        <f>+'Mgt account 15-16'!C137</f>
        <v>0</v>
      </c>
      <c r="D143" s="78">
        <f>+'Mgt account 15-16'!E137</f>
        <v>245</v>
      </c>
      <c r="E143" s="118">
        <f t="shared" si="12"/>
        <v>-245</v>
      </c>
      <c r="I143" s="95" t="e">
        <f>+#REF!</f>
        <v>#REF!</v>
      </c>
      <c r="J143" s="118" t="e">
        <f t="shared" si="13"/>
        <v>#REF!</v>
      </c>
    </row>
    <row r="144" spans="1:10" x14ac:dyDescent="0.25">
      <c r="A144" s="8" t="s">
        <v>104</v>
      </c>
      <c r="B144" s="27">
        <v>9004</v>
      </c>
      <c r="C144" s="78">
        <f>+'Mgt account 15-16'!C138</f>
        <v>0</v>
      </c>
      <c r="D144" s="78">
        <f>+'Mgt account 15-16'!E138</f>
        <v>1726.38</v>
      </c>
      <c r="E144" s="118">
        <f t="shared" si="12"/>
        <v>-1726.38</v>
      </c>
      <c r="I144" s="95" t="e">
        <f>+#REF!</f>
        <v>#REF!</v>
      </c>
      <c r="J144" s="118" t="e">
        <f t="shared" si="13"/>
        <v>#REF!</v>
      </c>
    </row>
    <row r="145" spans="1:10" x14ac:dyDescent="0.25">
      <c r="A145" s="8" t="s">
        <v>105</v>
      </c>
      <c r="B145" s="27">
        <v>9005</v>
      </c>
      <c r="C145" s="78">
        <f>+'Mgt account 15-16'!C139</f>
        <v>200</v>
      </c>
      <c r="D145" s="78">
        <f>+'Mgt account 15-16'!E139</f>
        <v>0</v>
      </c>
      <c r="E145" s="118">
        <f t="shared" si="12"/>
        <v>200</v>
      </c>
      <c r="I145" s="95" t="e">
        <f>+#REF!</f>
        <v>#REF!</v>
      </c>
      <c r="J145" s="118" t="e">
        <f t="shared" si="13"/>
        <v>#REF!</v>
      </c>
    </row>
    <row r="146" spans="1:10" x14ac:dyDescent="0.25">
      <c r="A146" s="8" t="s">
        <v>145</v>
      </c>
      <c r="B146" s="27">
        <v>9010</v>
      </c>
      <c r="C146" s="78">
        <f>+'Mgt account 15-16'!C140</f>
        <v>300</v>
      </c>
      <c r="D146" s="78">
        <f>+'Mgt account 15-16'!E140</f>
        <v>0</v>
      </c>
      <c r="E146" s="118">
        <f t="shared" si="12"/>
        <v>300</v>
      </c>
      <c r="I146" s="95" t="e">
        <f>+#REF!</f>
        <v>#REF!</v>
      </c>
      <c r="J146" s="118" t="e">
        <f t="shared" si="13"/>
        <v>#REF!</v>
      </c>
    </row>
    <row r="147" spans="1:10" x14ac:dyDescent="0.25">
      <c r="A147" s="8" t="s">
        <v>106</v>
      </c>
      <c r="B147" s="27">
        <v>9006</v>
      </c>
      <c r="C147" s="78">
        <f>+'Mgt account 15-16'!C141</f>
        <v>1000</v>
      </c>
      <c r="D147" s="78">
        <f>+'Mgt account 15-16'!E141</f>
        <v>7336.19</v>
      </c>
      <c r="E147" s="118">
        <f t="shared" si="12"/>
        <v>-6336.19</v>
      </c>
      <c r="I147" s="95" t="e">
        <f>+#REF!</f>
        <v>#REF!</v>
      </c>
      <c r="J147" s="118" t="e">
        <f t="shared" si="13"/>
        <v>#REF!</v>
      </c>
    </row>
    <row r="148" spans="1:10" x14ac:dyDescent="0.25">
      <c r="A148" s="8" t="s">
        <v>107</v>
      </c>
      <c r="B148" s="27">
        <v>9007</v>
      </c>
      <c r="C148" s="78">
        <f>+'Mgt account 15-16'!C142</f>
        <v>500</v>
      </c>
      <c r="D148" s="78">
        <f>+'Mgt account 15-16'!E142</f>
        <v>0</v>
      </c>
      <c r="E148" s="118">
        <f t="shared" si="12"/>
        <v>500</v>
      </c>
      <c r="I148" s="95" t="e">
        <f>+#REF!</f>
        <v>#REF!</v>
      </c>
      <c r="J148" s="118" t="e">
        <f t="shared" si="13"/>
        <v>#REF!</v>
      </c>
    </row>
    <row r="149" spans="1:10" x14ac:dyDescent="0.25">
      <c r="A149" s="8" t="s">
        <v>108</v>
      </c>
      <c r="B149" s="27">
        <v>9009</v>
      </c>
      <c r="C149" s="78">
        <f>+'Mgt account 15-16'!C143</f>
        <v>500</v>
      </c>
      <c r="D149" s="78">
        <f>+'Mgt account 15-16'!E143</f>
        <v>294.85000000000002</v>
      </c>
      <c r="E149" s="118">
        <f t="shared" si="12"/>
        <v>205.14999999999998</v>
      </c>
      <c r="I149" s="95" t="e">
        <f>+#REF!</f>
        <v>#REF!</v>
      </c>
      <c r="J149" s="118" t="e">
        <f t="shared" si="13"/>
        <v>#REF!</v>
      </c>
    </row>
    <row r="150" spans="1:10" x14ac:dyDescent="0.25">
      <c r="A150" s="8" t="s">
        <v>144</v>
      </c>
      <c r="B150" s="27">
        <v>9008</v>
      </c>
      <c r="C150" s="78">
        <f>+'Mgt account 15-16'!C144</f>
        <v>250</v>
      </c>
      <c r="D150" s="78">
        <f>+'Mgt account 15-16'!E144</f>
        <v>35</v>
      </c>
      <c r="E150" s="118">
        <f t="shared" si="12"/>
        <v>215</v>
      </c>
      <c r="I150" s="95" t="e">
        <f>+#REF!</f>
        <v>#REF!</v>
      </c>
      <c r="J150" s="118" t="e">
        <f t="shared" si="13"/>
        <v>#REF!</v>
      </c>
    </row>
    <row r="151" spans="1:10" x14ac:dyDescent="0.25">
      <c r="A151" s="8" t="s">
        <v>146</v>
      </c>
      <c r="B151" s="27">
        <v>9012</v>
      </c>
      <c r="C151" s="78">
        <f>+'Mgt account 15-16'!C145</f>
        <v>250</v>
      </c>
      <c r="D151" s="78">
        <f>+'Mgt account 15-16'!E145</f>
        <v>0</v>
      </c>
      <c r="E151" s="118">
        <f t="shared" si="12"/>
        <v>250</v>
      </c>
      <c r="I151" s="95" t="e">
        <f>+#REF!</f>
        <v>#REF!</v>
      </c>
      <c r="J151" s="118" t="e">
        <f t="shared" si="13"/>
        <v>#REF!</v>
      </c>
    </row>
    <row r="152" spans="1:10" x14ac:dyDescent="0.25">
      <c r="A152" s="8" t="s">
        <v>109</v>
      </c>
      <c r="B152" s="27">
        <v>9013</v>
      </c>
      <c r="C152" s="78">
        <f>+'Mgt account 15-16'!C146</f>
        <v>300</v>
      </c>
      <c r="D152" s="78">
        <f>+'Mgt account 15-16'!E146</f>
        <v>548.99</v>
      </c>
      <c r="E152" s="118">
        <f t="shared" si="12"/>
        <v>-248.99</v>
      </c>
      <c r="I152" s="95" t="e">
        <f>+#REF!</f>
        <v>#REF!</v>
      </c>
      <c r="J152" s="118" t="e">
        <f t="shared" si="13"/>
        <v>#REF!</v>
      </c>
    </row>
    <row r="153" spans="1:10" x14ac:dyDescent="0.25">
      <c r="A153" s="8" t="s">
        <v>143</v>
      </c>
      <c r="B153" s="27">
        <v>9017</v>
      </c>
      <c r="C153" s="78">
        <f>+'Mgt account 15-16'!C147</f>
        <v>2000</v>
      </c>
      <c r="D153" s="78">
        <f>+'Mgt account 15-16'!E147</f>
        <v>0</v>
      </c>
      <c r="E153" s="118">
        <f t="shared" si="12"/>
        <v>2000</v>
      </c>
      <c r="I153" s="95" t="e">
        <f>+#REF!</f>
        <v>#REF!</v>
      </c>
      <c r="J153" s="118" t="e">
        <f t="shared" si="13"/>
        <v>#REF!</v>
      </c>
    </row>
    <row r="154" spans="1:10" x14ac:dyDescent="0.25">
      <c r="A154" s="8" t="s">
        <v>150</v>
      </c>
      <c r="B154" s="27">
        <v>9018</v>
      </c>
      <c r="C154" s="78">
        <f>+'Mgt account 15-16'!C148</f>
        <v>2000</v>
      </c>
      <c r="D154" s="78">
        <f>+'Mgt account 15-16'!E148</f>
        <v>0</v>
      </c>
      <c r="E154" s="118">
        <f t="shared" si="12"/>
        <v>2000</v>
      </c>
      <c r="I154" s="95" t="e">
        <f>+#REF!</f>
        <v>#REF!</v>
      </c>
      <c r="J154" s="118" t="e">
        <f t="shared" si="13"/>
        <v>#REF!</v>
      </c>
    </row>
    <row r="155" spans="1:10" x14ac:dyDescent="0.25">
      <c r="A155" s="8" t="s">
        <v>110</v>
      </c>
      <c r="B155" s="27">
        <v>9019</v>
      </c>
      <c r="C155" s="78">
        <f>+'Mgt account 15-16'!C149</f>
        <v>0</v>
      </c>
      <c r="D155" s="78">
        <f>+'Mgt account 15-16'!E149</f>
        <v>0</v>
      </c>
      <c r="E155" s="118">
        <f t="shared" si="12"/>
        <v>0</v>
      </c>
      <c r="I155" s="95" t="e">
        <f>+#REF!</f>
        <v>#REF!</v>
      </c>
      <c r="J155" s="118" t="e">
        <f t="shared" si="13"/>
        <v>#REF!</v>
      </c>
    </row>
    <row r="156" spans="1:10" x14ac:dyDescent="0.25">
      <c r="A156" s="8" t="s">
        <v>111</v>
      </c>
      <c r="B156" s="27">
        <v>9020</v>
      </c>
      <c r="C156" s="78">
        <f>+'Mgt account 15-16'!C150</f>
        <v>0</v>
      </c>
      <c r="D156" s="78">
        <f>+'Mgt account 15-16'!E150</f>
        <v>0</v>
      </c>
      <c r="E156" s="118">
        <f t="shared" si="12"/>
        <v>0</v>
      </c>
      <c r="I156" s="95" t="e">
        <f>+#REF!</f>
        <v>#REF!</v>
      </c>
      <c r="J156" s="118" t="e">
        <f t="shared" si="13"/>
        <v>#REF!</v>
      </c>
    </row>
    <row r="157" spans="1:10" x14ac:dyDescent="0.25">
      <c r="A157" s="8" t="s">
        <v>181</v>
      </c>
      <c r="B157" s="27">
        <v>6203</v>
      </c>
      <c r="C157" s="78">
        <f>+'Mgt account 15-16'!C151</f>
        <v>0</v>
      </c>
      <c r="D157" s="78">
        <f>+'Mgt account 15-16'!E151</f>
        <v>0</v>
      </c>
      <c r="E157" s="118">
        <f t="shared" si="12"/>
        <v>0</v>
      </c>
      <c r="I157" s="95" t="e">
        <f>+#REF!</f>
        <v>#REF!</v>
      </c>
      <c r="J157" s="118" t="e">
        <f t="shared" si="13"/>
        <v>#REF!</v>
      </c>
    </row>
    <row r="158" spans="1:10" x14ac:dyDescent="0.25">
      <c r="A158" s="8" t="s">
        <v>112</v>
      </c>
      <c r="B158" s="27">
        <v>9021</v>
      </c>
      <c r="C158" s="78">
        <f>+'Mgt account 15-16'!C152</f>
        <v>0</v>
      </c>
      <c r="D158" s="78">
        <f>+'Mgt account 15-16'!E152</f>
        <v>0</v>
      </c>
      <c r="E158" s="118">
        <f t="shared" si="12"/>
        <v>0</v>
      </c>
      <c r="I158" s="95" t="e">
        <f>+#REF!</f>
        <v>#REF!</v>
      </c>
      <c r="J158" s="118" t="e">
        <f t="shared" si="13"/>
        <v>#REF!</v>
      </c>
    </row>
    <row r="159" spans="1:10" x14ac:dyDescent="0.25">
      <c r="A159" s="8" t="s">
        <v>96</v>
      </c>
      <c r="B159" s="27">
        <v>8100</v>
      </c>
      <c r="C159" s="78">
        <f>+'Mgt account 15-16'!C153</f>
        <v>0</v>
      </c>
      <c r="D159" s="78">
        <f>+'Mgt account 15-16'!E153</f>
        <v>0</v>
      </c>
      <c r="E159" s="118">
        <f t="shared" si="12"/>
        <v>0</v>
      </c>
      <c r="I159" s="95" t="e">
        <f>+#REF!</f>
        <v>#REF!</v>
      </c>
      <c r="J159" s="118" t="e">
        <f t="shared" si="13"/>
        <v>#REF!</v>
      </c>
    </row>
    <row r="160" spans="1:10" ht="13.8" thickBot="1" x14ac:dyDescent="0.3">
      <c r="A160" s="2" t="s">
        <v>291</v>
      </c>
      <c r="B160" s="35">
        <v>9928</v>
      </c>
      <c r="C160" s="78">
        <v>0</v>
      </c>
      <c r="D160" s="78">
        <v>0</v>
      </c>
      <c r="E160" s="118">
        <f t="shared" si="12"/>
        <v>0</v>
      </c>
      <c r="I160" s="95">
        <v>0</v>
      </c>
      <c r="J160" s="118">
        <f t="shared" si="13"/>
        <v>0</v>
      </c>
    </row>
    <row r="161" spans="1:13" ht="13.8" thickBot="1" x14ac:dyDescent="0.3">
      <c r="A161" s="11" t="s">
        <v>113</v>
      </c>
      <c r="B161" s="28"/>
      <c r="C161" s="363">
        <f t="shared" ref="C161:J161" si="14">SUM(C140:C160)</f>
        <v>16300</v>
      </c>
      <c r="D161" s="97">
        <f t="shared" si="14"/>
        <v>22391.07</v>
      </c>
      <c r="E161" s="97">
        <f t="shared" si="14"/>
        <v>-6091.07</v>
      </c>
      <c r="F161" s="97">
        <f t="shared" si="14"/>
        <v>0</v>
      </c>
      <c r="G161" s="97">
        <f t="shared" si="14"/>
        <v>0</v>
      </c>
      <c r="H161" s="97">
        <f t="shared" si="14"/>
        <v>0</v>
      </c>
      <c r="I161" s="97" t="e">
        <f t="shared" si="14"/>
        <v>#REF!</v>
      </c>
      <c r="J161" s="97" t="e">
        <f t="shared" si="14"/>
        <v>#REF!</v>
      </c>
      <c r="K161" s="110">
        <f>SUM(K140:K159)</f>
        <v>0</v>
      </c>
      <c r="L161" s="110">
        <f>SUM(L140:L159)</f>
        <v>0</v>
      </c>
      <c r="M161" s="110">
        <f>SUM(M140:M159)</f>
        <v>0</v>
      </c>
    </row>
    <row r="162" spans="1:13" ht="13.8" thickBot="1" x14ac:dyDescent="0.3">
      <c r="B162" s="22"/>
    </row>
    <row r="163" spans="1:13" ht="27" thickBot="1" x14ac:dyDescent="0.3">
      <c r="A163" s="11" t="s">
        <v>114</v>
      </c>
      <c r="B163" s="12" t="s">
        <v>2</v>
      </c>
      <c r="C163" s="109" t="str">
        <f>+C139</f>
        <v>Budget for 2015-2016</v>
      </c>
      <c r="D163" s="114" t="s">
        <v>184</v>
      </c>
      <c r="E163" s="114" t="str">
        <f>E139</f>
        <v>Variance</v>
      </c>
      <c r="I163" s="114" t="s">
        <v>184</v>
      </c>
      <c r="J163" s="114" t="str">
        <f>+J139</f>
        <v>Variance</v>
      </c>
    </row>
    <row r="164" spans="1:13" x14ac:dyDescent="0.25">
      <c r="A164" s="14" t="s">
        <v>115</v>
      </c>
      <c r="B164" s="37">
        <v>6010</v>
      </c>
      <c r="C164" s="99">
        <v>0</v>
      </c>
      <c r="D164" s="95">
        <f>'[1]Mgt Account Dec 07'!E150</f>
        <v>0</v>
      </c>
      <c r="E164" s="95">
        <f t="shared" ref="E164:E174" si="15">C164-D164</f>
        <v>0</v>
      </c>
      <c r="I164" s="95" t="e">
        <f>+#REF!</f>
        <v>#REF!</v>
      </c>
      <c r="J164" s="95" t="e">
        <f t="shared" ref="J164:J174" si="16">+C164-I164</f>
        <v>#REF!</v>
      </c>
    </row>
    <row r="165" spans="1:13" x14ac:dyDescent="0.25">
      <c r="A165" s="8"/>
      <c r="B165" s="27">
        <v>6304</v>
      </c>
      <c r="C165" s="99">
        <v>0</v>
      </c>
      <c r="D165" s="95">
        <f>'[1]Mgt Account Dec 07'!E151</f>
        <v>0</v>
      </c>
      <c r="E165" s="95">
        <f t="shared" si="15"/>
        <v>0</v>
      </c>
      <c r="I165" s="95" t="e">
        <f>+#REF!</f>
        <v>#REF!</v>
      </c>
      <c r="J165" s="95" t="e">
        <f t="shared" si="16"/>
        <v>#REF!</v>
      </c>
    </row>
    <row r="166" spans="1:13" x14ac:dyDescent="0.25">
      <c r="A166" s="8"/>
      <c r="B166" s="27">
        <v>6305</v>
      </c>
      <c r="C166" s="99">
        <v>0</v>
      </c>
      <c r="D166" s="95">
        <f>'[1]Mgt Account Dec 07'!E152</f>
        <v>0</v>
      </c>
      <c r="E166" s="95">
        <f t="shared" si="15"/>
        <v>0</v>
      </c>
      <c r="I166" s="95" t="e">
        <f>+#REF!</f>
        <v>#REF!</v>
      </c>
      <c r="J166" s="95" t="e">
        <f t="shared" si="16"/>
        <v>#REF!</v>
      </c>
    </row>
    <row r="167" spans="1:13" x14ac:dyDescent="0.25">
      <c r="A167" s="8"/>
      <c r="B167" s="27">
        <v>6310</v>
      </c>
      <c r="C167" s="99">
        <v>0</v>
      </c>
      <c r="D167" s="95">
        <f>'[1]Mgt Account Dec 07'!E153</f>
        <v>0</v>
      </c>
      <c r="E167" s="95">
        <f t="shared" si="15"/>
        <v>0</v>
      </c>
      <c r="I167" s="95" t="e">
        <f>+#REF!</f>
        <v>#REF!</v>
      </c>
      <c r="J167" s="95" t="e">
        <f t="shared" si="16"/>
        <v>#REF!</v>
      </c>
    </row>
    <row r="168" spans="1:13" x14ac:dyDescent="0.25">
      <c r="A168" s="8" t="s">
        <v>116</v>
      </c>
      <c r="B168" s="27">
        <v>6315</v>
      </c>
      <c r="C168" s="99">
        <v>0</v>
      </c>
      <c r="D168" s="95">
        <f>+'Mgt account 15-16'!E161</f>
        <v>2180</v>
      </c>
      <c r="E168" s="95">
        <f t="shared" si="15"/>
        <v>-2180</v>
      </c>
      <c r="I168" s="95" t="e">
        <f>+#REF!</f>
        <v>#REF!</v>
      </c>
      <c r="J168" s="95" t="e">
        <f t="shared" si="16"/>
        <v>#REF!</v>
      </c>
    </row>
    <row r="169" spans="1:13" x14ac:dyDescent="0.25">
      <c r="A169" s="8" t="s">
        <v>117</v>
      </c>
      <c r="B169" s="27">
        <v>6320</v>
      </c>
      <c r="C169" s="99">
        <v>0</v>
      </c>
      <c r="D169" s="95">
        <f>'[1]Mgt Account Dec 07'!E155</f>
        <v>0</v>
      </c>
      <c r="E169" s="95">
        <f t="shared" si="15"/>
        <v>0</v>
      </c>
      <c r="I169" s="95" t="e">
        <f>+#REF!</f>
        <v>#REF!</v>
      </c>
      <c r="J169" s="95" t="e">
        <f t="shared" si="16"/>
        <v>#REF!</v>
      </c>
    </row>
    <row r="170" spans="1:13" x14ac:dyDescent="0.25">
      <c r="A170" s="8" t="s">
        <v>118</v>
      </c>
      <c r="B170" s="27">
        <v>6325</v>
      </c>
      <c r="C170" s="99">
        <v>0</v>
      </c>
      <c r="D170" s="95">
        <f>'[1]Mgt Account Dec 07'!E156</f>
        <v>0</v>
      </c>
      <c r="E170" s="95">
        <f t="shared" si="15"/>
        <v>0</v>
      </c>
      <c r="I170" s="95" t="e">
        <f>+#REF!</f>
        <v>#REF!</v>
      </c>
      <c r="J170" s="95" t="e">
        <f t="shared" si="16"/>
        <v>#REF!</v>
      </c>
    </row>
    <row r="171" spans="1:13" x14ac:dyDescent="0.25">
      <c r="A171" s="8" t="s">
        <v>119</v>
      </c>
      <c r="B171" s="27">
        <v>6326</v>
      </c>
      <c r="C171" s="99">
        <v>0</v>
      </c>
      <c r="D171" s="95">
        <f>'[1]Mgt Account Dec 07'!E157</f>
        <v>0</v>
      </c>
      <c r="E171" s="95">
        <f t="shared" si="15"/>
        <v>0</v>
      </c>
      <c r="I171" s="95" t="e">
        <f>+#REF!</f>
        <v>#REF!</v>
      </c>
      <c r="J171" s="95" t="e">
        <f t="shared" si="16"/>
        <v>#REF!</v>
      </c>
    </row>
    <row r="172" spans="1:13" x14ac:dyDescent="0.25">
      <c r="A172" s="8" t="s">
        <v>120</v>
      </c>
      <c r="B172" s="27">
        <v>6327</v>
      </c>
      <c r="C172" s="99">
        <v>0</v>
      </c>
      <c r="D172" s="95">
        <f>'[1]Mgt Account Dec 07'!E158</f>
        <v>0</v>
      </c>
      <c r="E172" s="95">
        <f t="shared" si="15"/>
        <v>0</v>
      </c>
      <c r="I172" s="95" t="e">
        <f>+#REF!</f>
        <v>#REF!</v>
      </c>
      <c r="J172" s="95" t="e">
        <f t="shared" si="16"/>
        <v>#REF!</v>
      </c>
    </row>
    <row r="173" spans="1:13" x14ac:dyDescent="0.25">
      <c r="A173" s="8"/>
      <c r="B173" s="27">
        <v>6328</v>
      </c>
      <c r="C173" s="99">
        <v>0</v>
      </c>
      <c r="D173" s="95">
        <f>'[1]Mgt Account Dec 07'!E159</f>
        <v>0</v>
      </c>
      <c r="E173" s="95">
        <f t="shared" si="15"/>
        <v>0</v>
      </c>
      <c r="I173" s="95" t="e">
        <f>+#REF!</f>
        <v>#REF!</v>
      </c>
      <c r="J173" s="95" t="e">
        <f t="shared" si="16"/>
        <v>#REF!</v>
      </c>
    </row>
    <row r="174" spans="1:13" ht="13.8" thickBot="1" x14ac:dyDescent="0.3">
      <c r="A174" s="8" t="s">
        <v>233</v>
      </c>
      <c r="B174" s="27">
        <v>6330</v>
      </c>
      <c r="C174" s="99">
        <v>0</v>
      </c>
      <c r="D174" s="95">
        <f>+'Mgt account 15-16'!E167</f>
        <v>0</v>
      </c>
      <c r="E174" s="95">
        <f t="shared" si="15"/>
        <v>0</v>
      </c>
      <c r="I174" s="95" t="e">
        <f>+#REF!</f>
        <v>#REF!</v>
      </c>
      <c r="J174" s="95" t="e">
        <f t="shared" si="16"/>
        <v>#REF!</v>
      </c>
    </row>
    <row r="175" spans="1:13" ht="13.8" thickBot="1" x14ac:dyDescent="0.3">
      <c r="A175" s="11" t="s">
        <v>121</v>
      </c>
      <c r="B175" s="28"/>
      <c r="C175" s="110">
        <f>SUM(C164:C174)</f>
        <v>0</v>
      </c>
      <c r="D175" s="119">
        <f>SUM(D164:D174)</f>
        <v>2180</v>
      </c>
      <c r="E175" s="119">
        <f>SUM(E164:E174)</f>
        <v>-2180</v>
      </c>
      <c r="I175" s="119" t="e">
        <f>SUM(I164:I174)</f>
        <v>#REF!</v>
      </c>
      <c r="J175" s="119" t="e">
        <f>SUM(J164:J174)</f>
        <v>#REF!</v>
      </c>
    </row>
    <row r="176" spans="1:13" ht="13.8" thickBot="1" x14ac:dyDescent="0.3">
      <c r="B176" s="22"/>
    </row>
    <row r="177" spans="1:13" ht="13.8" thickBot="1" x14ac:dyDescent="0.3">
      <c r="A177" s="11" t="s">
        <v>122</v>
      </c>
      <c r="B177" s="26"/>
      <c r="C177" s="98">
        <f t="shared" ref="C177:J177" si="17">C26</f>
        <v>111523.99723928446</v>
      </c>
      <c r="D177" s="98">
        <f t="shared" si="17"/>
        <v>114067.93000000001</v>
      </c>
      <c r="E177" s="98">
        <f t="shared" si="17"/>
        <v>-2543.9327607155269</v>
      </c>
      <c r="F177" s="98">
        <f t="shared" si="17"/>
        <v>0</v>
      </c>
      <c r="G177" s="98">
        <f t="shared" si="17"/>
        <v>0</v>
      </c>
      <c r="H177" s="98">
        <f t="shared" si="17"/>
        <v>0</v>
      </c>
      <c r="I177" s="98" t="e">
        <f t="shared" si="17"/>
        <v>#REF!</v>
      </c>
      <c r="J177" s="98" t="e">
        <f t="shared" si="17"/>
        <v>#REF!</v>
      </c>
    </row>
    <row r="178" spans="1:13" x14ac:dyDescent="0.25">
      <c r="A178" s="1"/>
      <c r="B178" s="22"/>
    </row>
    <row r="179" spans="1:13" x14ac:dyDescent="0.25">
      <c r="A179" s="8" t="s">
        <v>200</v>
      </c>
      <c r="B179" s="27"/>
      <c r="C179" s="95">
        <f>C39</f>
        <v>10100</v>
      </c>
      <c r="D179" s="95">
        <f>D39</f>
        <v>10572.349999999999</v>
      </c>
      <c r="E179" s="95">
        <f t="shared" ref="E179:E184" si="18">C179-D179</f>
        <v>-472.34999999999854</v>
      </c>
      <c r="I179" s="95" t="e">
        <f>I39</f>
        <v>#REF!</v>
      </c>
      <c r="J179" s="95" t="e">
        <f>J39</f>
        <v>#REF!</v>
      </c>
    </row>
    <row r="180" spans="1:13" x14ac:dyDescent="0.25">
      <c r="A180" s="8" t="s">
        <v>201</v>
      </c>
      <c r="B180" s="27"/>
      <c r="C180" s="99">
        <f>C88</f>
        <v>3500</v>
      </c>
      <c r="D180" s="99">
        <f>D88</f>
        <v>3900</v>
      </c>
      <c r="E180" s="95">
        <f t="shared" si="18"/>
        <v>-400</v>
      </c>
      <c r="I180" s="99" t="e">
        <f>I88</f>
        <v>#REF!</v>
      </c>
      <c r="J180" s="99" t="e">
        <f>J88</f>
        <v>#REF!</v>
      </c>
    </row>
    <row r="181" spans="1:13" x14ac:dyDescent="0.25">
      <c r="A181" s="8" t="s">
        <v>202</v>
      </c>
      <c r="B181" s="27"/>
      <c r="C181" s="99">
        <f>C129</f>
        <v>14999.687635789584</v>
      </c>
      <c r="D181" s="99">
        <f>D129</f>
        <v>17585.310000000001</v>
      </c>
      <c r="E181" s="95">
        <f t="shared" si="18"/>
        <v>-2585.6223642104178</v>
      </c>
      <c r="I181" s="99" t="e">
        <f>I129</f>
        <v>#REF!</v>
      </c>
      <c r="J181" s="99" t="e">
        <f>J129</f>
        <v>#REF!</v>
      </c>
    </row>
    <row r="182" spans="1:13" x14ac:dyDescent="0.25">
      <c r="A182" s="8" t="s">
        <v>203</v>
      </c>
      <c r="B182" s="133"/>
      <c r="C182" s="99">
        <f>C135</f>
        <v>2850.5330000000004</v>
      </c>
      <c r="D182" s="99">
        <f>D135</f>
        <v>3347.25</v>
      </c>
      <c r="E182" s="95">
        <f t="shared" si="18"/>
        <v>-496.71699999999964</v>
      </c>
      <c r="I182" s="99" t="e">
        <f>I135</f>
        <v>#REF!</v>
      </c>
      <c r="J182" s="99" t="e">
        <f>J135</f>
        <v>#REF!</v>
      </c>
    </row>
    <row r="183" spans="1:13" x14ac:dyDescent="0.25">
      <c r="A183" s="8" t="s">
        <v>204</v>
      </c>
      <c r="B183" s="27"/>
      <c r="C183" s="99">
        <f>C123</f>
        <v>14550</v>
      </c>
      <c r="D183" s="99">
        <f>D123</f>
        <v>17348.169999999998</v>
      </c>
      <c r="E183" s="95">
        <f t="shared" si="18"/>
        <v>-2798.1699999999983</v>
      </c>
      <c r="I183" s="99" t="e">
        <f>I123</f>
        <v>#REF!</v>
      </c>
      <c r="J183" s="99" t="e">
        <f>J123</f>
        <v>#REF!</v>
      </c>
    </row>
    <row r="184" spans="1:13" ht="13.8" thickBot="1" x14ac:dyDescent="0.3">
      <c r="A184" s="13" t="s">
        <v>124</v>
      </c>
      <c r="B184" s="35"/>
      <c r="C184" s="107">
        <f>C71</f>
        <v>20340</v>
      </c>
      <c r="D184" s="107">
        <f>D71</f>
        <v>18839.769999999997</v>
      </c>
      <c r="E184" s="95">
        <f t="shared" si="18"/>
        <v>1500.2300000000032</v>
      </c>
      <c r="I184" s="107" t="e">
        <f>I71</f>
        <v>#REF!</v>
      </c>
      <c r="J184" s="107" t="e">
        <f>J71</f>
        <v>#REF!</v>
      </c>
    </row>
    <row r="185" spans="1:13" ht="13.8" thickBot="1" x14ac:dyDescent="0.3">
      <c r="A185" s="11" t="s">
        <v>98</v>
      </c>
      <c r="B185" s="28" t="s">
        <v>151</v>
      </c>
      <c r="C185" s="96">
        <f>SUM(C179:C184)</f>
        <v>66340.220635789577</v>
      </c>
      <c r="D185" s="96">
        <f>SUM(D179:D184)</f>
        <v>71592.850000000006</v>
      </c>
      <c r="E185" s="96">
        <f>SUM(E179:E184)</f>
        <v>-5252.629364210411</v>
      </c>
      <c r="I185" s="96" t="e">
        <f>SUM(I179:I184)</f>
        <v>#REF!</v>
      </c>
      <c r="J185" s="96" t="e">
        <f>SUM(J179:J184)</f>
        <v>#REF!</v>
      </c>
    </row>
    <row r="186" spans="1:13" ht="13.8" thickBot="1" x14ac:dyDescent="0.3">
      <c r="B186" s="33"/>
    </row>
    <row r="187" spans="1:13" ht="13.8" thickBot="1" x14ac:dyDescent="0.3">
      <c r="A187" s="11" t="s">
        <v>125</v>
      </c>
      <c r="B187" s="28" t="s">
        <v>152</v>
      </c>
      <c r="C187" s="96">
        <f t="shared" ref="C187:M187" si="19">C161</f>
        <v>16300</v>
      </c>
      <c r="D187" s="96">
        <f t="shared" si="19"/>
        <v>22391.07</v>
      </c>
      <c r="E187" s="96">
        <f t="shared" si="19"/>
        <v>-6091.07</v>
      </c>
      <c r="F187" s="96">
        <f t="shared" si="19"/>
        <v>0</v>
      </c>
      <c r="G187" s="96">
        <f t="shared" si="19"/>
        <v>0</v>
      </c>
      <c r="H187" s="96">
        <f t="shared" si="19"/>
        <v>0</v>
      </c>
      <c r="I187" s="96" t="e">
        <f t="shared" si="19"/>
        <v>#REF!</v>
      </c>
      <c r="J187" s="96" t="e">
        <f t="shared" si="19"/>
        <v>#REF!</v>
      </c>
      <c r="K187" s="96">
        <f t="shared" si="19"/>
        <v>0</v>
      </c>
      <c r="L187" s="96">
        <f t="shared" si="19"/>
        <v>0</v>
      </c>
      <c r="M187" s="96">
        <f t="shared" si="19"/>
        <v>0</v>
      </c>
    </row>
    <row r="188" spans="1:13" ht="13.8" thickBot="1" x14ac:dyDescent="0.3">
      <c r="B188" s="33"/>
    </row>
    <row r="189" spans="1:13" ht="12.75" customHeight="1" thickBot="1" x14ac:dyDescent="0.3">
      <c r="A189" s="11" t="s">
        <v>126</v>
      </c>
      <c r="B189" s="28" t="s">
        <v>153</v>
      </c>
      <c r="C189" s="97">
        <f t="shared" ref="C189:J189" si="20">C175</f>
        <v>0</v>
      </c>
      <c r="D189" s="97">
        <f t="shared" si="20"/>
        <v>2180</v>
      </c>
      <c r="E189" s="97">
        <f t="shared" si="20"/>
        <v>-2180</v>
      </c>
      <c r="F189" s="97">
        <f t="shared" si="20"/>
        <v>0</v>
      </c>
      <c r="G189" s="97">
        <f t="shared" si="20"/>
        <v>0</v>
      </c>
      <c r="H189" s="97">
        <f t="shared" si="20"/>
        <v>0</v>
      </c>
      <c r="I189" s="97" t="e">
        <f t="shared" si="20"/>
        <v>#REF!</v>
      </c>
      <c r="J189" s="97" t="e">
        <f t="shared" si="20"/>
        <v>#REF!</v>
      </c>
    </row>
    <row r="190" spans="1:13" ht="13.8" thickBot="1" x14ac:dyDescent="0.3">
      <c r="B190" s="33"/>
    </row>
    <row r="191" spans="1:13" ht="13.8" thickBot="1" x14ac:dyDescent="0.3">
      <c r="A191" s="11" t="str">
        <f>A73</f>
        <v>Staffing cost</v>
      </c>
      <c r="B191" s="28" t="s">
        <v>154</v>
      </c>
      <c r="C191" s="96">
        <f t="shared" ref="C191:J191" si="21">C84</f>
        <v>25821.096539999999</v>
      </c>
      <c r="D191" s="96">
        <f t="shared" si="21"/>
        <v>28408.83</v>
      </c>
      <c r="E191" s="96">
        <f t="shared" si="21"/>
        <v>-2587.7334600000004</v>
      </c>
      <c r="F191" s="96">
        <f t="shared" si="21"/>
        <v>-11878.903460000001</v>
      </c>
      <c r="G191" s="96">
        <f t="shared" si="21"/>
        <v>4500</v>
      </c>
      <c r="H191" s="96">
        <f t="shared" si="21"/>
        <v>0</v>
      </c>
      <c r="I191" s="96" t="e">
        <f t="shared" si="21"/>
        <v>#REF!</v>
      </c>
      <c r="J191" s="96" t="e">
        <f t="shared" si="21"/>
        <v>#REF!</v>
      </c>
    </row>
    <row r="192" spans="1:13" ht="13.8" thickBot="1" x14ac:dyDescent="0.3">
      <c r="B192" s="22"/>
    </row>
    <row r="193" spans="1:15" ht="13.8" thickBot="1" x14ac:dyDescent="0.3">
      <c r="A193" s="11" t="s">
        <v>127</v>
      </c>
      <c r="B193" s="38"/>
      <c r="C193" s="96">
        <f t="shared" ref="C193:M193" si="22">C177 - (C185+C187+C189+C191)</f>
        <v>3062.6800634948886</v>
      </c>
      <c r="D193" s="96">
        <f t="shared" si="22"/>
        <v>-10504.820000000007</v>
      </c>
      <c r="E193" s="96">
        <f t="shared" si="22"/>
        <v>13567.500063494883</v>
      </c>
      <c r="F193" s="96">
        <f t="shared" si="22"/>
        <v>11878.903460000001</v>
      </c>
      <c r="G193" s="96">
        <f t="shared" si="22"/>
        <v>-4500</v>
      </c>
      <c r="H193" s="96">
        <f t="shared" si="22"/>
        <v>0</v>
      </c>
      <c r="I193" s="96" t="e">
        <f t="shared" si="22"/>
        <v>#REF!</v>
      </c>
      <c r="J193" s="96" t="e">
        <f t="shared" si="22"/>
        <v>#REF!</v>
      </c>
      <c r="K193" s="96">
        <f t="shared" si="22"/>
        <v>0</v>
      </c>
      <c r="L193" s="96">
        <f t="shared" si="22"/>
        <v>0</v>
      </c>
      <c r="M193" s="96">
        <f t="shared" si="22"/>
        <v>0</v>
      </c>
      <c r="N193" s="199">
        <f>+D193-'Mgt account 15-16'!E182</f>
        <v>-1.4551915228366852E-11</v>
      </c>
      <c r="O193" s="199" t="s">
        <v>131</v>
      </c>
    </row>
    <row r="194" spans="1:15" ht="13.8" thickBot="1" x14ac:dyDescent="0.3">
      <c r="B194" s="22"/>
      <c r="C194" s="408">
        <f>3062.68-C193</f>
        <v>-6.3494888763671042E-5</v>
      </c>
      <c r="D194" s="9"/>
      <c r="E194" s="9"/>
      <c r="F194" s="9"/>
      <c r="I194" s="407" t="s">
        <v>131</v>
      </c>
      <c r="N194" s="199">
        <f>+C193-D193-E193</f>
        <v>0</v>
      </c>
      <c r="O194" s="199"/>
    </row>
    <row r="195" spans="1:15" ht="27" thickBot="1" x14ac:dyDescent="0.3">
      <c r="A195" s="15" t="s">
        <v>128</v>
      </c>
      <c r="B195" s="26"/>
      <c r="C195" s="111" t="str">
        <f>+C163</f>
        <v>Budget for 2015-2016</v>
      </c>
      <c r="D195" s="111" t="s">
        <v>205</v>
      </c>
      <c r="E195" s="111" t="str">
        <f>E163</f>
        <v>Variance</v>
      </c>
      <c r="I195" s="111" t="s">
        <v>205</v>
      </c>
      <c r="J195" s="111" t="str">
        <f>J163</f>
        <v>Variance</v>
      </c>
      <c r="N195" s="140"/>
      <c r="O195" s="140"/>
    </row>
    <row r="196" spans="1:15" x14ac:dyDescent="0.25">
      <c r="A196" s="8" t="s">
        <v>206</v>
      </c>
      <c r="B196" s="27"/>
      <c r="C196" s="99">
        <f t="shared" ref="C196:J201" si="23">C179</f>
        <v>10100</v>
      </c>
      <c r="D196" s="99">
        <f t="shared" si="23"/>
        <v>10572.349999999999</v>
      </c>
      <c r="E196" s="99">
        <f t="shared" si="23"/>
        <v>-472.34999999999854</v>
      </c>
      <c r="F196" s="99">
        <f t="shared" si="23"/>
        <v>0</v>
      </c>
      <c r="G196" s="99">
        <f t="shared" si="23"/>
        <v>0</v>
      </c>
      <c r="H196" s="99">
        <f t="shared" si="23"/>
        <v>0</v>
      </c>
      <c r="I196" s="99" t="e">
        <f t="shared" si="23"/>
        <v>#REF!</v>
      </c>
      <c r="J196" s="99" t="e">
        <f t="shared" si="23"/>
        <v>#REF!</v>
      </c>
      <c r="N196" s="140"/>
      <c r="O196" s="140"/>
    </row>
    <row r="197" spans="1:15" x14ac:dyDescent="0.25">
      <c r="A197" s="10" t="s">
        <v>201</v>
      </c>
      <c r="B197" s="133"/>
      <c r="C197" s="99">
        <f t="shared" si="23"/>
        <v>3500</v>
      </c>
      <c r="D197" s="99">
        <f t="shared" si="23"/>
        <v>3900</v>
      </c>
      <c r="E197" s="99">
        <f t="shared" si="23"/>
        <v>-400</v>
      </c>
      <c r="F197" s="99">
        <f t="shared" si="23"/>
        <v>0</v>
      </c>
      <c r="G197" s="99">
        <f t="shared" si="23"/>
        <v>0</v>
      </c>
      <c r="H197" s="99">
        <f t="shared" si="23"/>
        <v>0</v>
      </c>
      <c r="I197" s="99" t="e">
        <f t="shared" si="23"/>
        <v>#REF!</v>
      </c>
      <c r="J197" s="99" t="e">
        <f t="shared" si="23"/>
        <v>#REF!</v>
      </c>
      <c r="N197" s="140"/>
      <c r="O197" s="140"/>
    </row>
    <row r="198" spans="1:15" x14ac:dyDescent="0.25">
      <c r="A198" s="8" t="s">
        <v>202</v>
      </c>
      <c r="B198" s="133"/>
      <c r="C198" s="99">
        <f t="shared" si="23"/>
        <v>14999.687635789584</v>
      </c>
      <c r="D198" s="99">
        <f t="shared" si="23"/>
        <v>17585.310000000001</v>
      </c>
      <c r="E198" s="99">
        <f t="shared" si="23"/>
        <v>-2585.6223642104178</v>
      </c>
      <c r="F198" s="99">
        <f t="shared" si="23"/>
        <v>0</v>
      </c>
      <c r="G198" s="99">
        <f t="shared" si="23"/>
        <v>0</v>
      </c>
      <c r="H198" s="99">
        <f t="shared" si="23"/>
        <v>0</v>
      </c>
      <c r="I198" s="99" t="e">
        <f t="shared" si="23"/>
        <v>#REF!</v>
      </c>
      <c r="J198" s="99" t="e">
        <f t="shared" si="23"/>
        <v>#REF!</v>
      </c>
      <c r="N198" s="140"/>
      <c r="O198" s="140"/>
    </row>
    <row r="199" spans="1:15" s="16" customFormat="1" x14ac:dyDescent="0.25">
      <c r="A199" s="8" t="s">
        <v>203</v>
      </c>
      <c r="B199" s="133"/>
      <c r="C199" s="99">
        <f t="shared" si="23"/>
        <v>2850.5330000000004</v>
      </c>
      <c r="D199" s="99">
        <f t="shared" si="23"/>
        <v>3347.25</v>
      </c>
      <c r="E199" s="99">
        <f t="shared" si="23"/>
        <v>-496.71699999999964</v>
      </c>
      <c r="F199" s="99">
        <f t="shared" si="23"/>
        <v>0</v>
      </c>
      <c r="G199" s="99">
        <f t="shared" si="23"/>
        <v>0</v>
      </c>
      <c r="H199" s="99">
        <f t="shared" si="23"/>
        <v>0</v>
      </c>
      <c r="I199" s="99" t="e">
        <f t="shared" si="23"/>
        <v>#REF!</v>
      </c>
      <c r="J199" s="99" t="e">
        <f t="shared" si="23"/>
        <v>#REF!</v>
      </c>
      <c r="N199" s="200"/>
      <c r="O199" s="200"/>
    </row>
    <row r="200" spans="1:15" s="16" customFormat="1" x14ac:dyDescent="0.25">
      <c r="A200" s="8" t="s">
        <v>207</v>
      </c>
      <c r="B200" s="27"/>
      <c r="C200" s="99">
        <f t="shared" si="23"/>
        <v>14550</v>
      </c>
      <c r="D200" s="99">
        <f t="shared" si="23"/>
        <v>17348.169999999998</v>
      </c>
      <c r="E200" s="99">
        <f t="shared" si="23"/>
        <v>-2798.1699999999983</v>
      </c>
      <c r="F200" s="99">
        <f t="shared" si="23"/>
        <v>0</v>
      </c>
      <c r="G200" s="99">
        <f t="shared" si="23"/>
        <v>0</v>
      </c>
      <c r="H200" s="99">
        <f t="shared" si="23"/>
        <v>0</v>
      </c>
      <c r="I200" s="99" t="e">
        <f t="shared" si="23"/>
        <v>#REF!</v>
      </c>
      <c r="J200" s="99" t="e">
        <f t="shared" si="23"/>
        <v>#REF!</v>
      </c>
      <c r="K200" s="99">
        <f>K183</f>
        <v>0</v>
      </c>
      <c r="L200" s="99">
        <f>L183</f>
        <v>0</v>
      </c>
      <c r="M200" s="99">
        <f>M183</f>
        <v>0</v>
      </c>
      <c r="N200" s="200"/>
      <c r="O200" s="200"/>
    </row>
    <row r="201" spans="1:15" x14ac:dyDescent="0.25">
      <c r="A201" s="31" t="s">
        <v>124</v>
      </c>
      <c r="B201" s="27"/>
      <c r="C201" s="99">
        <f t="shared" si="23"/>
        <v>20340</v>
      </c>
      <c r="D201" s="99">
        <f t="shared" si="23"/>
        <v>18839.769999999997</v>
      </c>
      <c r="E201" s="99">
        <f t="shared" si="23"/>
        <v>1500.2300000000032</v>
      </c>
      <c r="F201" s="99">
        <f t="shared" si="23"/>
        <v>0</v>
      </c>
      <c r="G201" s="99">
        <f t="shared" si="23"/>
        <v>0</v>
      </c>
      <c r="H201" s="99">
        <f t="shared" si="23"/>
        <v>0</v>
      </c>
      <c r="I201" s="99" t="e">
        <f t="shared" si="23"/>
        <v>#REF!</v>
      </c>
      <c r="J201" s="99" t="e">
        <f t="shared" si="23"/>
        <v>#REF!</v>
      </c>
      <c r="N201" s="140"/>
      <c r="O201" s="140"/>
    </row>
    <row r="202" spans="1:15" ht="13.8" thickBot="1" x14ac:dyDescent="0.3">
      <c r="A202" s="79" t="s">
        <v>147</v>
      </c>
      <c r="B202" s="80"/>
      <c r="C202" s="107">
        <f t="shared" ref="C202:J202" si="24">C191</f>
        <v>25821.096539999999</v>
      </c>
      <c r="D202" s="107">
        <f t="shared" si="24"/>
        <v>28408.83</v>
      </c>
      <c r="E202" s="107">
        <f t="shared" si="24"/>
        <v>-2587.7334600000004</v>
      </c>
      <c r="F202" s="107">
        <f t="shared" si="24"/>
        <v>-11878.903460000001</v>
      </c>
      <c r="G202" s="107">
        <f t="shared" si="24"/>
        <v>4500</v>
      </c>
      <c r="H202" s="107">
        <f t="shared" si="24"/>
        <v>0</v>
      </c>
      <c r="I202" s="107" t="e">
        <f t="shared" si="24"/>
        <v>#REF!</v>
      </c>
      <c r="J202" s="107" t="e">
        <f t="shared" si="24"/>
        <v>#REF!</v>
      </c>
      <c r="N202" s="140"/>
      <c r="O202" s="140"/>
    </row>
    <row r="203" spans="1:15" ht="13.8" thickBot="1" x14ac:dyDescent="0.3">
      <c r="A203" s="15" t="s">
        <v>97</v>
      </c>
      <c r="B203" s="28"/>
      <c r="C203" s="134">
        <f>SUM(C196:C202)</f>
        <v>92161.317175789576</v>
      </c>
      <c r="D203" s="100">
        <f>SUM(D196:D202)</f>
        <v>100001.68000000001</v>
      </c>
      <c r="E203" s="100">
        <f>SUM(E196:E202)</f>
        <v>-7840.3628242104114</v>
      </c>
      <c r="I203" s="100" t="e">
        <f>SUM(I196:I202)</f>
        <v>#REF!</v>
      </c>
      <c r="J203" s="100" t="e">
        <f>SUM(J196:J202)</f>
        <v>#REF!</v>
      </c>
      <c r="N203" s="199" t="e">
        <f>+I203-I191-I185</f>
        <v>#REF!</v>
      </c>
      <c r="O203" s="140"/>
    </row>
    <row r="204" spans="1:15" ht="13.8" thickBot="1" x14ac:dyDescent="0.3">
      <c r="A204" s="32"/>
      <c r="B204" s="33"/>
      <c r="C204" s="101"/>
      <c r="N204" s="199">
        <f>+C203-C185-C191</f>
        <v>0</v>
      </c>
    </row>
    <row r="205" spans="1:15" ht="13.8" thickBot="1" x14ac:dyDescent="0.3">
      <c r="A205" s="15" t="s">
        <v>137</v>
      </c>
      <c r="B205" s="28"/>
      <c r="C205" s="100">
        <f t="shared" ref="C205:J205" si="25">C202*0.4</f>
        <v>10328.438615999999</v>
      </c>
      <c r="D205" s="100">
        <f t="shared" si="25"/>
        <v>11363.532000000001</v>
      </c>
      <c r="E205" s="100">
        <f t="shared" si="25"/>
        <v>-1035.0933840000002</v>
      </c>
      <c r="F205" s="100">
        <f t="shared" si="25"/>
        <v>-4751.5613840000005</v>
      </c>
      <c r="G205" s="100">
        <f t="shared" si="25"/>
        <v>1800</v>
      </c>
      <c r="H205" s="100">
        <f t="shared" si="25"/>
        <v>0</v>
      </c>
      <c r="I205" s="100" t="e">
        <f t="shared" si="25"/>
        <v>#REF!</v>
      </c>
      <c r="J205" s="100" t="e">
        <f t="shared" si="25"/>
        <v>#REF!</v>
      </c>
    </row>
    <row r="206" spans="1:15" ht="13.8" thickBot="1" x14ac:dyDescent="0.3">
      <c r="A206" s="32"/>
      <c r="B206" s="29"/>
      <c r="C206" s="101"/>
    </row>
    <row r="207" spans="1:15" ht="13.8" thickBot="1" x14ac:dyDescent="0.3">
      <c r="A207" s="15" t="s">
        <v>129</v>
      </c>
      <c r="B207" s="28"/>
      <c r="C207" s="100">
        <f t="shared" ref="C207:J207" si="26">C71*0.3</f>
        <v>6102</v>
      </c>
      <c r="D207" s="100">
        <f t="shared" si="26"/>
        <v>5651.9309999999987</v>
      </c>
      <c r="E207" s="100">
        <f t="shared" si="26"/>
        <v>450.06900000000013</v>
      </c>
      <c r="F207" s="100">
        <f t="shared" si="26"/>
        <v>0</v>
      </c>
      <c r="G207" s="100">
        <f t="shared" si="26"/>
        <v>-538.3970999999998</v>
      </c>
      <c r="H207" s="100">
        <f t="shared" si="26"/>
        <v>0</v>
      </c>
      <c r="I207" s="100" t="e">
        <f t="shared" si="26"/>
        <v>#REF!</v>
      </c>
      <c r="J207" s="100" t="e">
        <f t="shared" si="26"/>
        <v>#REF!</v>
      </c>
      <c r="N207" s="9">
        <f>+C207/30%-C71</f>
        <v>0</v>
      </c>
    </row>
    <row r="208" spans="1:15" ht="13.8" thickBot="1" x14ac:dyDescent="0.3">
      <c r="A208" s="32"/>
      <c r="B208" s="22"/>
      <c r="C208" s="112"/>
    </row>
    <row r="209" spans="1:10" ht="13.8" thickBot="1" x14ac:dyDescent="0.3">
      <c r="A209" s="32" t="s">
        <v>130</v>
      </c>
      <c r="B209" s="22"/>
      <c r="C209" s="102">
        <f t="shared" ref="C209:J209" si="27">C203-C205-C207</f>
        <v>75730.878559789577</v>
      </c>
      <c r="D209" s="102">
        <f t="shared" si="27"/>
        <v>82986.217000000004</v>
      </c>
      <c r="E209" s="102">
        <f t="shared" si="27"/>
        <v>-7255.338440210412</v>
      </c>
      <c r="F209" s="102">
        <f t="shared" si="27"/>
        <v>4751.5613840000005</v>
      </c>
      <c r="G209" s="102">
        <f t="shared" si="27"/>
        <v>-1261.6029000000003</v>
      </c>
      <c r="H209" s="102">
        <f t="shared" si="27"/>
        <v>0</v>
      </c>
      <c r="I209" s="102" t="e">
        <f t="shared" si="27"/>
        <v>#REF!</v>
      </c>
      <c r="J209" s="102" t="e">
        <f t="shared" si="27"/>
        <v>#REF!</v>
      </c>
    </row>
    <row r="210" spans="1:10" ht="13.8" thickBot="1" x14ac:dyDescent="0.3">
      <c r="A210" s="32"/>
      <c r="B210" s="22"/>
      <c r="C210" s="112"/>
      <c r="D210" s="16"/>
      <c r="E210" s="16"/>
      <c r="I210" s="16"/>
      <c r="J210" s="16"/>
    </row>
    <row r="211" spans="1:10" ht="13.8" thickBot="1" x14ac:dyDescent="0.3">
      <c r="A211" s="32" t="s">
        <v>139</v>
      </c>
      <c r="B211" s="22"/>
      <c r="C211" s="102">
        <f t="shared" ref="C211:J211" si="28">C209/78*39</f>
        <v>37865.439279894788</v>
      </c>
      <c r="D211" s="102">
        <f t="shared" si="28"/>
        <v>41493.108500000002</v>
      </c>
      <c r="E211" s="102">
        <f t="shared" si="28"/>
        <v>-3627.669220105206</v>
      </c>
      <c r="F211" s="102">
        <f t="shared" si="28"/>
        <v>2375.7806920000003</v>
      </c>
      <c r="G211" s="102">
        <f t="shared" si="28"/>
        <v>-630.80145000000016</v>
      </c>
      <c r="H211" s="102">
        <f t="shared" si="28"/>
        <v>0</v>
      </c>
      <c r="I211" s="102" t="e">
        <f t="shared" si="28"/>
        <v>#REF!</v>
      </c>
      <c r="J211" s="102" t="e">
        <f t="shared" si="28"/>
        <v>#REF!</v>
      </c>
    </row>
    <row r="212" spans="1:10" ht="13.8" thickBot="1" x14ac:dyDescent="0.3">
      <c r="A212" s="32"/>
      <c r="B212" s="22"/>
      <c r="C212" s="112"/>
      <c r="D212" s="16"/>
      <c r="E212" s="16"/>
      <c r="I212" s="16"/>
      <c r="J212" s="16"/>
    </row>
    <row r="213" spans="1:10" ht="13.8" thickBot="1" x14ac:dyDescent="0.3">
      <c r="A213" s="32" t="s">
        <v>138</v>
      </c>
      <c r="B213" s="22"/>
      <c r="C213" s="102">
        <f t="shared" ref="C213:J213" si="29">C209/78*39</f>
        <v>37865.439279894788</v>
      </c>
      <c r="D213" s="102">
        <f t="shared" si="29"/>
        <v>41493.108500000002</v>
      </c>
      <c r="E213" s="102">
        <f t="shared" si="29"/>
        <v>-3627.669220105206</v>
      </c>
      <c r="F213" s="102">
        <f t="shared" si="29"/>
        <v>2375.7806920000003</v>
      </c>
      <c r="G213" s="102">
        <f t="shared" si="29"/>
        <v>-630.80145000000016</v>
      </c>
      <c r="H213" s="102">
        <f t="shared" si="29"/>
        <v>0</v>
      </c>
      <c r="I213" s="102" t="e">
        <f t="shared" si="29"/>
        <v>#REF!</v>
      </c>
      <c r="J213" s="102" t="e">
        <f t="shared" si="29"/>
        <v>#REF!</v>
      </c>
    </row>
    <row r="214" spans="1:10" x14ac:dyDescent="0.25">
      <c r="A214" s="32"/>
      <c r="B214" s="22"/>
      <c r="D214" s="16"/>
    </row>
    <row r="215" spans="1:10" x14ac:dyDescent="0.25">
      <c r="A215" s="1"/>
      <c r="B215" s="33"/>
    </row>
    <row r="216" spans="1:10" x14ac:dyDescent="0.25">
      <c r="A216" s="1" t="s">
        <v>132</v>
      </c>
      <c r="B216" s="33"/>
      <c r="D216" s="16"/>
    </row>
    <row r="217" spans="1:10" s="16" customFormat="1" x14ac:dyDescent="0.25">
      <c r="A217" s="1"/>
      <c r="B217" s="33"/>
      <c r="C217" s="103"/>
      <c r="E217"/>
      <c r="F217"/>
      <c r="G217"/>
    </row>
    <row r="218" spans="1:10" s="16" customFormat="1" x14ac:dyDescent="0.25">
      <c r="A218" s="1" t="s">
        <v>133</v>
      </c>
      <c r="B218" s="33"/>
      <c r="C218" s="1" t="s">
        <v>312</v>
      </c>
      <c r="D218"/>
    </row>
    <row r="219" spans="1:10" s="16" customFormat="1" x14ac:dyDescent="0.25">
      <c r="A219" s="1" t="s">
        <v>134</v>
      </c>
      <c r="B219" s="33"/>
      <c r="C219" s="1" t="s">
        <v>135</v>
      </c>
      <c r="D219"/>
    </row>
    <row r="220" spans="1:10" s="16" customFormat="1" x14ac:dyDescent="0.25">
      <c r="A220" s="2"/>
      <c r="B220" s="22"/>
      <c r="C220" s="103"/>
      <c r="D220"/>
    </row>
    <row r="221" spans="1:10" x14ac:dyDescent="0.25">
      <c r="B221" s="22"/>
      <c r="E221" s="16"/>
      <c r="F221" s="16"/>
      <c r="G221" s="16"/>
    </row>
    <row r="222" spans="1:10" x14ac:dyDescent="0.25">
      <c r="B222" s="33"/>
    </row>
    <row r="223" spans="1:10" x14ac:dyDescent="0.25">
      <c r="B223" s="33"/>
    </row>
    <row r="224" spans="1:10" x14ac:dyDescent="0.25">
      <c r="B224" s="22"/>
    </row>
    <row r="225" spans="1:7" s="16" customFormat="1" x14ac:dyDescent="0.25">
      <c r="A225" s="2"/>
      <c r="B225" s="22"/>
      <c r="C225" s="103"/>
      <c r="D225"/>
      <c r="E225"/>
      <c r="F225"/>
      <c r="G225"/>
    </row>
    <row r="226" spans="1:7" s="16" customFormat="1" x14ac:dyDescent="0.25">
      <c r="A226" s="2"/>
      <c r="B226" s="22"/>
      <c r="C226" s="103"/>
      <c r="D226"/>
    </row>
    <row r="227" spans="1:7" x14ac:dyDescent="0.25">
      <c r="E227" s="16"/>
      <c r="F227" s="16"/>
      <c r="G227" s="16"/>
    </row>
  </sheetData>
  <protectedRanges>
    <protectedRange password="C753" sqref="D188 I194:J194 H194:H195 E195:G195 K194:IV195" name="TotalincomeminusABC"/>
    <protectedRange password="C753" sqref="E190:G190 A187:M187 K189:IV189" name="Total tenant2"/>
    <protectedRange password="C753" sqref="H176:IV176 A177:J177" name="Total income2"/>
    <protectedRange password="C753" sqref="D72 A71:C72 E71:H72 K71:IV72 I72:J72" name="Admin service cost"/>
    <protectedRange password="C753" sqref="E123:G123 A123:C123 H122 K122:IV122" name="Total estate maintenance"/>
    <protectedRange password="C753" sqref="A26:C26 E26:H26 K26:IV26" name="Total income"/>
    <protectedRange password="C753" sqref="A39:C39 E39:H39 K39:IV39" name="Total block cost"/>
    <protectedRange password="C753" sqref="A84:C85 K84:IV85 E84:H85" name="Contractor cost"/>
    <protectedRange password="C753" sqref="H136:IV136 A137:J137" name="Total SC"/>
    <protectedRange password="C753" sqref="E175:G175 A175:C175 H174 K174:IV174" name="Improvement"/>
    <protectedRange password="C753" sqref="E188:G188 A185:D185 I185:J185 N187:IV187" name="Total service2"/>
    <protectedRange password="C753" sqref="E192:G192 A189:J189 K191:IV191" name="Totalimprovement2"/>
    <protectedRange password="C753" sqref="A193:M193" name="Netsurplus"/>
    <protectedRange password="C753" sqref="E210:H210 A200:C213 K202:IV213 C197:J197 D211:J211 D207:J207 A196:J196 D200:M200 D201:J202 D203:H204 D205:J205 E206:H206 E208:H208 D209:J209 E212:H212 E214:G214 D213:J213" name="Last box"/>
    <protectedRange password="C753" sqref="D4:D5 D26" name="Actual figure_1"/>
    <protectedRange password="C753" sqref="D28 D39" name="Actual figure_2"/>
    <protectedRange password="C753" sqref="D39" name="Total block cost_1"/>
    <protectedRange password="C753" sqref="D71" name="Admin service cost_1"/>
    <protectedRange password="C753" sqref="D41 D71" name="Actual figure_3"/>
    <protectedRange password="C753" sqref="D163 D86 D90 D125 D131 D139 D73 D84" name="Actual figure_4"/>
    <protectedRange password="C753" sqref="D84" name="Contractor cost_1"/>
    <protectedRange password="C753" sqref="D164:D175" name="Actual figure_9"/>
    <protectedRange password="C753" sqref="D175" name="Improvement_1"/>
    <protectedRange password="C753" sqref="J26" name="Total income_2"/>
    <protectedRange password="C753" sqref="I26" name="Total income_1_1"/>
    <protectedRange password="C753" sqref="I4:I5 I7 I26" name="Actual figure_1_1"/>
    <protectedRange password="C753" sqref="J39" name="Total block cost_2"/>
    <protectedRange password="C753" sqref="I28:I39" name="Actual figure_2_1"/>
    <protectedRange password="C753" sqref="I39" name="Total block cost_1_1"/>
    <protectedRange password="C753" sqref="J71" name="Admin service cost_2"/>
    <protectedRange password="C753" sqref="I71" name="Admin service cost_1_1"/>
    <protectedRange password="C753" sqref="I41:I71" name="Actual figure_3_1"/>
    <protectedRange password="C753" sqref="J84 I73:I84" name="Actual figure_4_1"/>
    <protectedRange password="C753" sqref="I84:J84" name="Contractor cost_1_1"/>
    <protectedRange password="C753" sqref="I86" name="Actual figure_4_2"/>
    <protectedRange password="C753" sqref="I87" name="Actual figure_5_1"/>
    <protectedRange password="C753" sqref="J123" name="Total estate maintenance_1"/>
    <protectedRange password="C753" sqref="I90" name="Actual figure_4_3"/>
    <protectedRange password="C753" sqref="I125" name="Actual figure_4_4"/>
    <protectedRange password="C753" sqref="I131" name="Actual figure_4_5"/>
    <protectedRange password="C753" sqref="K137:N137" name="Total SC_1"/>
    <protectedRange password="C753" sqref="I139" name="Actual figure_4_6"/>
    <protectedRange password="C753" sqref="K161:M161 I140:I160" name="Actual figure_8_1"/>
    <protectedRange password="C753" sqref="J175" name="Improvement_2"/>
    <protectedRange password="C753" sqref="I163" name="Actual figure_4_7"/>
    <protectedRange password="C753" sqref="I164:I175" name="Actual figure_9_1"/>
    <protectedRange password="C753" sqref="I175" name="Improvement_1_1"/>
    <protectedRange password="C753" sqref="J195" name="TotalincomeminusABC_2"/>
    <protectedRange password="C753" sqref="I203:J204 J210 J208 J206 J212" name="Last box_2"/>
  </protectedRanges>
  <mergeCells count="2">
    <mergeCell ref="A71:B71"/>
    <mergeCell ref="A123:B123"/>
  </mergeCells>
  <conditionalFormatting sqref="C71 C179:D179 I179:J179 C183:D183 I183:J183">
    <cfRule type="cellIs" dxfId="2" priority="2" stopIfTrue="1" operator="lessThan">
      <formula>0</formula>
    </cfRule>
  </conditionalFormatting>
  <conditionalFormatting sqref="E1:E5 J4:J26 E26:E134 J28:J39 J41:J71 J73:J83 J86:J88 J90:J123 J125:J129 J131:J134 E136 E138:E160 J139:J160 E162:E176 J163:J175 E178:E186 E188 E190 E192 E194:E195 J195 E203:E204 J203:J204 E206 J206 E208 J208 E210 J210 E212 J212 E214:E65536">
    <cfRule type="cellIs" dxfId="1" priority="3" stopIfTrue="1" operator="lessThan">
      <formula>0</formula>
    </cfRule>
  </conditionalFormatting>
  <conditionalFormatting sqref="I193">
    <cfRule type="cellIs" dxfId="0" priority="1" stopIfTrue="1" operator="lessThanOrEqual">
      <formula>0</formula>
    </cfRule>
  </conditionalFormatting>
  <pageMargins left="0.75" right="0.75" top="0.45" bottom="0.59" header="0.22" footer="0.5"/>
  <pageSetup paperSize="9" scale="69" orientation="portrait" r:id="rId1"/>
  <headerFooter alignWithMargins="0">
    <oddHeader>&amp;L&amp;D &amp;T&amp;R&amp;A</oddHeader>
  </headerFooter>
  <rowBreaks count="3" manualBreakCount="3">
    <brk id="72" max="4" man="1"/>
    <brk id="138" max="4" man="1"/>
    <brk id="219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H267"/>
  <sheetViews>
    <sheetView topLeftCell="A238" workbookViewId="0">
      <selection activeCell="Z10" sqref="Z10"/>
    </sheetView>
  </sheetViews>
  <sheetFormatPr defaultRowHeight="13.2" x14ac:dyDescent="0.25"/>
  <cols>
    <col min="2" max="2" width="36.88671875" bestFit="1" customWidth="1"/>
    <col min="5" max="5" width="47.88671875" bestFit="1" customWidth="1"/>
  </cols>
  <sheetData>
    <row r="1" spans="1:8" x14ac:dyDescent="0.25">
      <c r="A1" s="409" t="s">
        <v>265</v>
      </c>
      <c r="B1" s="409" t="s">
        <v>266</v>
      </c>
      <c r="C1" s="409" t="s">
        <v>313</v>
      </c>
      <c r="D1" s="409" t="s">
        <v>267</v>
      </c>
      <c r="E1" s="409" t="s">
        <v>268</v>
      </c>
      <c r="F1" s="409" t="s">
        <v>269</v>
      </c>
      <c r="G1" s="409" t="s">
        <v>270</v>
      </c>
      <c r="H1" s="409" t="s">
        <v>271</v>
      </c>
    </row>
    <row r="4" spans="1:8" x14ac:dyDescent="0.25">
      <c r="A4" s="412" t="s">
        <v>257</v>
      </c>
      <c r="B4" s="412" t="s">
        <v>258</v>
      </c>
      <c r="C4" s="412" t="s">
        <v>300</v>
      </c>
      <c r="D4" s="412" t="s">
        <v>310</v>
      </c>
      <c r="E4" s="412" t="s">
        <v>324</v>
      </c>
      <c r="F4" s="412" t="s">
        <v>254</v>
      </c>
      <c r="G4" s="20">
        <v>161.43</v>
      </c>
      <c r="H4" s="20">
        <v>0</v>
      </c>
    </row>
    <row r="5" spans="1:8" x14ac:dyDescent="0.25">
      <c r="A5" s="412" t="s">
        <v>257</v>
      </c>
      <c r="B5" s="412" t="s">
        <v>277</v>
      </c>
      <c r="C5" s="412" t="s">
        <v>300</v>
      </c>
      <c r="D5" s="412" t="s">
        <v>309</v>
      </c>
      <c r="E5" s="412" t="s">
        <v>324</v>
      </c>
      <c r="F5" s="412" t="s">
        <v>254</v>
      </c>
      <c r="G5" s="20">
        <v>80.72</v>
      </c>
      <c r="H5" s="20">
        <v>0</v>
      </c>
    </row>
    <row r="6" spans="1:8" x14ac:dyDescent="0.25">
      <c r="A6" s="412" t="s">
        <v>259</v>
      </c>
      <c r="B6" s="412" t="s">
        <v>260</v>
      </c>
      <c r="C6" s="412" t="s">
        <v>300</v>
      </c>
      <c r="D6" s="412" t="s">
        <v>310</v>
      </c>
      <c r="E6" s="412" t="s">
        <v>324</v>
      </c>
      <c r="F6" s="412" t="s">
        <v>254</v>
      </c>
      <c r="G6" s="20">
        <v>0</v>
      </c>
      <c r="H6" s="20">
        <v>242.15</v>
      </c>
    </row>
    <row r="7" spans="1:8" x14ac:dyDescent="0.25">
      <c r="A7" s="412" t="s">
        <v>257</v>
      </c>
      <c r="B7" s="412" t="s">
        <v>277</v>
      </c>
      <c r="C7" s="412" t="s">
        <v>300</v>
      </c>
      <c r="D7" s="412" t="s">
        <v>311</v>
      </c>
      <c r="E7" s="412" t="s">
        <v>325</v>
      </c>
      <c r="F7" s="412" t="s">
        <v>254</v>
      </c>
      <c r="G7" s="20">
        <v>107.24</v>
      </c>
      <c r="H7" s="20">
        <v>0</v>
      </c>
    </row>
    <row r="8" spans="1:8" x14ac:dyDescent="0.25">
      <c r="A8" s="412" t="s">
        <v>257</v>
      </c>
      <c r="B8" s="412" t="s">
        <v>277</v>
      </c>
      <c r="C8" s="412" t="s">
        <v>300</v>
      </c>
      <c r="D8" s="412" t="s">
        <v>309</v>
      </c>
      <c r="E8" s="412" t="s">
        <v>325</v>
      </c>
      <c r="F8" s="412" t="s">
        <v>254</v>
      </c>
      <c r="G8" s="20">
        <v>53.62</v>
      </c>
      <c r="H8" s="20">
        <v>0</v>
      </c>
    </row>
    <row r="9" spans="1:8" x14ac:dyDescent="0.25">
      <c r="A9" s="412" t="s">
        <v>259</v>
      </c>
      <c r="B9" s="412" t="s">
        <v>260</v>
      </c>
      <c r="C9" s="412" t="s">
        <v>300</v>
      </c>
      <c r="D9" s="412" t="s">
        <v>311</v>
      </c>
      <c r="E9" s="412" t="s">
        <v>325</v>
      </c>
      <c r="F9" s="412" t="s">
        <v>254</v>
      </c>
      <c r="G9" s="20">
        <v>0</v>
      </c>
      <c r="H9" s="20">
        <v>160.86000000000001</v>
      </c>
    </row>
    <row r="10" spans="1:8" x14ac:dyDescent="0.25">
      <c r="A10" s="412" t="s">
        <v>261</v>
      </c>
      <c r="B10" s="412" t="s">
        <v>262</v>
      </c>
      <c r="C10" s="412" t="s">
        <v>300</v>
      </c>
      <c r="D10" s="412" t="s">
        <v>309</v>
      </c>
      <c r="E10" s="412" t="s">
        <v>326</v>
      </c>
      <c r="F10" s="412" t="s">
        <v>254</v>
      </c>
      <c r="G10" s="20">
        <v>241.15</v>
      </c>
      <c r="H10" s="20">
        <v>0</v>
      </c>
    </row>
    <row r="11" spans="1:8" x14ac:dyDescent="0.25">
      <c r="A11" s="412" t="s">
        <v>259</v>
      </c>
      <c r="B11" s="412" t="s">
        <v>260</v>
      </c>
      <c r="C11" s="412" t="s">
        <v>300</v>
      </c>
      <c r="D11" s="412" t="s">
        <v>309</v>
      </c>
      <c r="E11" s="412" t="s">
        <v>326</v>
      </c>
      <c r="F11" s="412" t="s">
        <v>254</v>
      </c>
      <c r="G11" s="20">
        <v>0</v>
      </c>
      <c r="H11" s="20">
        <v>241.15</v>
      </c>
    </row>
    <row r="12" spans="1:8" x14ac:dyDescent="0.25">
      <c r="A12" s="412" t="s">
        <v>255</v>
      </c>
      <c r="B12" s="412" t="s">
        <v>256</v>
      </c>
      <c r="C12" s="412" t="s">
        <v>300</v>
      </c>
      <c r="D12" s="412" t="s">
        <v>309</v>
      </c>
      <c r="E12" s="412" t="s">
        <v>327</v>
      </c>
      <c r="F12" s="412" t="s">
        <v>254</v>
      </c>
      <c r="G12" s="20">
        <v>0</v>
      </c>
      <c r="H12" s="20">
        <v>38.299999999999997</v>
      </c>
    </row>
    <row r="13" spans="1:8" ht="13.8" thickBot="1" x14ac:dyDescent="0.3">
      <c r="A13" s="411" t="s">
        <v>263</v>
      </c>
      <c r="B13" s="411" t="s">
        <v>264</v>
      </c>
      <c r="C13" s="411" t="s">
        <v>300</v>
      </c>
      <c r="D13" s="411" t="s">
        <v>309</v>
      </c>
      <c r="E13" s="411" t="s">
        <v>327</v>
      </c>
      <c r="F13" s="411" t="s">
        <v>254</v>
      </c>
      <c r="G13" s="410">
        <v>38.299999999999997</v>
      </c>
      <c r="H13" s="410">
        <v>0</v>
      </c>
    </row>
    <row r="15" spans="1:8" x14ac:dyDescent="0.25">
      <c r="A15" s="412" t="s">
        <v>259</v>
      </c>
      <c r="B15" s="412" t="s">
        <v>260</v>
      </c>
      <c r="C15" s="412" t="s">
        <v>300</v>
      </c>
      <c r="D15" s="412" t="s">
        <v>309</v>
      </c>
      <c r="E15" s="412" t="s">
        <v>328</v>
      </c>
      <c r="F15" s="412" t="s">
        <v>254</v>
      </c>
      <c r="G15" s="20">
        <v>241.15</v>
      </c>
      <c r="H15" s="20">
        <v>0</v>
      </c>
    </row>
    <row r="16" spans="1:8" ht="13.8" thickBot="1" x14ac:dyDescent="0.3">
      <c r="A16" s="411" t="s">
        <v>255</v>
      </c>
      <c r="B16" s="411" t="s">
        <v>256</v>
      </c>
      <c r="C16" s="411" t="s">
        <v>300</v>
      </c>
      <c r="D16" s="411" t="s">
        <v>309</v>
      </c>
      <c r="E16" s="411" t="s">
        <v>328</v>
      </c>
      <c r="F16" s="411" t="s">
        <v>254</v>
      </c>
      <c r="G16" s="410">
        <v>0</v>
      </c>
      <c r="H16" s="410">
        <v>241.15</v>
      </c>
    </row>
    <row r="18" spans="1:8" x14ac:dyDescent="0.25">
      <c r="A18" s="412" t="s">
        <v>255</v>
      </c>
      <c r="B18" s="412" t="s">
        <v>256</v>
      </c>
      <c r="C18" s="412" t="s">
        <v>300</v>
      </c>
      <c r="D18" s="412" t="s">
        <v>309</v>
      </c>
      <c r="E18" s="412" t="s">
        <v>329</v>
      </c>
      <c r="F18" s="412" t="s">
        <v>254</v>
      </c>
      <c r="G18" s="20">
        <v>38.299999999999997</v>
      </c>
      <c r="H18" s="20">
        <v>0</v>
      </c>
    </row>
    <row r="19" spans="1:8" ht="13.8" thickBot="1" x14ac:dyDescent="0.3">
      <c r="A19" s="411" t="s">
        <v>261</v>
      </c>
      <c r="B19" s="411" t="s">
        <v>262</v>
      </c>
      <c r="C19" s="411" t="s">
        <v>300</v>
      </c>
      <c r="D19" s="411" t="s">
        <v>309</v>
      </c>
      <c r="E19" s="411" t="s">
        <v>329</v>
      </c>
      <c r="F19" s="411" t="s">
        <v>254</v>
      </c>
      <c r="G19" s="410">
        <v>0</v>
      </c>
      <c r="H19" s="410">
        <v>38.299999999999997</v>
      </c>
    </row>
    <row r="21" spans="1:8" x14ac:dyDescent="0.25">
      <c r="A21" s="412" t="s">
        <v>255</v>
      </c>
      <c r="B21" s="412" t="s">
        <v>256</v>
      </c>
      <c r="C21" s="412" t="s">
        <v>300</v>
      </c>
      <c r="D21" s="412" t="s">
        <v>309</v>
      </c>
      <c r="E21" s="412" t="s">
        <v>330</v>
      </c>
      <c r="F21" s="412" t="s">
        <v>254</v>
      </c>
      <c r="G21" s="20">
        <v>0</v>
      </c>
      <c r="H21" s="20">
        <v>725.45</v>
      </c>
    </row>
    <row r="22" spans="1:8" ht="13.8" thickBot="1" x14ac:dyDescent="0.3">
      <c r="A22" s="411" t="s">
        <v>259</v>
      </c>
      <c r="B22" s="411" t="s">
        <v>260</v>
      </c>
      <c r="C22" s="411" t="s">
        <v>300</v>
      </c>
      <c r="D22" s="411" t="s">
        <v>309</v>
      </c>
      <c r="E22" s="411" t="s">
        <v>330</v>
      </c>
      <c r="F22" s="411" t="s">
        <v>254</v>
      </c>
      <c r="G22" s="410">
        <v>725.45</v>
      </c>
      <c r="H22" s="410">
        <v>0</v>
      </c>
    </row>
    <row r="24" spans="1:8" x14ac:dyDescent="0.25">
      <c r="A24" s="412" t="s">
        <v>307</v>
      </c>
      <c r="B24" s="412" t="s">
        <v>308</v>
      </c>
      <c r="C24" s="412" t="s">
        <v>300</v>
      </c>
      <c r="D24" s="412" t="s">
        <v>309</v>
      </c>
      <c r="E24" s="412" t="s">
        <v>331</v>
      </c>
      <c r="F24" s="412" t="s">
        <v>254</v>
      </c>
      <c r="G24" s="20">
        <v>0</v>
      </c>
      <c r="H24" s="20">
        <v>725.45</v>
      </c>
    </row>
    <row r="25" spans="1:8" ht="13.8" thickBot="1" x14ac:dyDescent="0.3">
      <c r="A25" s="411" t="s">
        <v>255</v>
      </c>
      <c r="B25" s="411" t="s">
        <v>256</v>
      </c>
      <c r="C25" s="411" t="s">
        <v>300</v>
      </c>
      <c r="D25" s="411" t="s">
        <v>309</v>
      </c>
      <c r="E25" s="411" t="s">
        <v>331</v>
      </c>
      <c r="F25" s="411" t="s">
        <v>254</v>
      </c>
      <c r="G25" s="410">
        <v>725.45</v>
      </c>
      <c r="H25" s="410">
        <v>0</v>
      </c>
    </row>
    <row r="27" spans="1:8" x14ac:dyDescent="0.25">
      <c r="A27" s="412" t="s">
        <v>301</v>
      </c>
      <c r="B27" s="412" t="s">
        <v>302</v>
      </c>
      <c r="C27" s="412" t="s">
        <v>300</v>
      </c>
      <c r="D27" s="412" t="s">
        <v>309</v>
      </c>
      <c r="E27" s="412" t="s">
        <v>332</v>
      </c>
      <c r="F27" s="412" t="s">
        <v>254</v>
      </c>
      <c r="G27" s="20">
        <v>229.17</v>
      </c>
      <c r="H27" s="20">
        <v>0</v>
      </c>
    </row>
    <row r="28" spans="1:8" ht="13.8" thickBot="1" x14ac:dyDescent="0.3">
      <c r="A28" s="411" t="s">
        <v>259</v>
      </c>
      <c r="B28" s="411" t="s">
        <v>260</v>
      </c>
      <c r="C28" s="411" t="s">
        <v>300</v>
      </c>
      <c r="D28" s="411" t="s">
        <v>309</v>
      </c>
      <c r="E28" s="411" t="s">
        <v>332</v>
      </c>
      <c r="F28" s="411" t="s">
        <v>254</v>
      </c>
      <c r="G28" s="410">
        <v>0</v>
      </c>
      <c r="H28" s="410">
        <v>229.17</v>
      </c>
    </row>
    <row r="31" spans="1:8" x14ac:dyDescent="0.25">
      <c r="A31" s="412" t="s">
        <v>257</v>
      </c>
      <c r="B31" s="412" t="s">
        <v>258</v>
      </c>
      <c r="C31" s="412" t="s">
        <v>300</v>
      </c>
      <c r="D31" s="412" t="s">
        <v>310</v>
      </c>
      <c r="E31" s="412" t="s">
        <v>348</v>
      </c>
      <c r="F31" s="412" t="s">
        <v>254</v>
      </c>
      <c r="G31" s="20">
        <v>0</v>
      </c>
      <c r="H31" s="20">
        <v>46.97</v>
      </c>
    </row>
    <row r="32" spans="1:8" x14ac:dyDescent="0.25">
      <c r="A32" s="412" t="s">
        <v>257</v>
      </c>
      <c r="B32" s="412" t="s">
        <v>277</v>
      </c>
      <c r="C32" s="412" t="s">
        <v>300</v>
      </c>
      <c r="D32" s="412" t="s">
        <v>309</v>
      </c>
      <c r="E32" s="412" t="s">
        <v>348</v>
      </c>
      <c r="F32" s="412" t="s">
        <v>254</v>
      </c>
      <c r="G32" s="20">
        <v>0</v>
      </c>
      <c r="H32" s="20">
        <v>23.48</v>
      </c>
    </row>
    <row r="33" spans="1:8" x14ac:dyDescent="0.25">
      <c r="A33" s="412" t="s">
        <v>259</v>
      </c>
      <c r="B33" s="412" t="s">
        <v>260</v>
      </c>
      <c r="C33" s="412" t="s">
        <v>300</v>
      </c>
      <c r="D33" s="412" t="s">
        <v>310</v>
      </c>
      <c r="E33" s="412" t="s">
        <v>347</v>
      </c>
      <c r="F33" s="412" t="s">
        <v>254</v>
      </c>
      <c r="G33" s="20">
        <v>70.45</v>
      </c>
      <c r="H33" s="20">
        <v>0</v>
      </c>
    </row>
    <row r="34" spans="1:8" x14ac:dyDescent="0.25">
      <c r="A34" s="412" t="s">
        <v>257</v>
      </c>
      <c r="B34" s="412" t="s">
        <v>277</v>
      </c>
      <c r="C34" s="412" t="s">
        <v>300</v>
      </c>
      <c r="D34" s="412" t="s">
        <v>311</v>
      </c>
      <c r="E34" s="412" t="s">
        <v>346</v>
      </c>
      <c r="F34" s="412" t="s">
        <v>254</v>
      </c>
      <c r="G34" s="20">
        <v>0</v>
      </c>
      <c r="H34" s="20">
        <v>28.03</v>
      </c>
    </row>
    <row r="35" spans="1:8" x14ac:dyDescent="0.25">
      <c r="A35" s="412" t="s">
        <v>257</v>
      </c>
      <c r="B35" s="412" t="s">
        <v>277</v>
      </c>
      <c r="C35" s="412" t="s">
        <v>300</v>
      </c>
      <c r="D35" s="412" t="s">
        <v>309</v>
      </c>
      <c r="E35" s="412" t="s">
        <v>346</v>
      </c>
      <c r="F35" s="412" t="s">
        <v>254</v>
      </c>
      <c r="G35" s="20">
        <v>0</v>
      </c>
      <c r="H35" s="20">
        <v>14.01</v>
      </c>
    </row>
    <row r="36" spans="1:8" x14ac:dyDescent="0.25">
      <c r="A36" s="412" t="s">
        <v>259</v>
      </c>
      <c r="B36" s="412" t="s">
        <v>260</v>
      </c>
      <c r="C36" s="412" t="s">
        <v>300</v>
      </c>
      <c r="D36" s="412" t="s">
        <v>311</v>
      </c>
      <c r="E36" s="412" t="s">
        <v>346</v>
      </c>
      <c r="F36" s="412" t="s">
        <v>254</v>
      </c>
      <c r="G36" s="20">
        <v>42.04</v>
      </c>
      <c r="H36" s="20">
        <v>0</v>
      </c>
    </row>
    <row r="37" spans="1:8" x14ac:dyDescent="0.25">
      <c r="A37" s="412" t="s">
        <v>261</v>
      </c>
      <c r="B37" s="412" t="s">
        <v>262</v>
      </c>
      <c r="C37" s="412" t="s">
        <v>300</v>
      </c>
      <c r="D37" s="412" t="s">
        <v>309</v>
      </c>
      <c r="E37" s="412" t="s">
        <v>345</v>
      </c>
      <c r="F37" s="412" t="s">
        <v>254</v>
      </c>
      <c r="G37" s="20">
        <v>241.15</v>
      </c>
      <c r="H37" s="20">
        <v>0</v>
      </c>
    </row>
    <row r="38" spans="1:8" x14ac:dyDescent="0.25">
      <c r="A38" s="412" t="s">
        <v>259</v>
      </c>
      <c r="B38" s="412" t="s">
        <v>260</v>
      </c>
      <c r="C38" s="412" t="s">
        <v>300</v>
      </c>
      <c r="D38" s="412" t="s">
        <v>309</v>
      </c>
      <c r="E38" s="412" t="s">
        <v>345</v>
      </c>
      <c r="F38" s="412" t="s">
        <v>254</v>
      </c>
      <c r="G38" s="20">
        <v>0</v>
      </c>
      <c r="H38" s="20">
        <v>241.15</v>
      </c>
    </row>
    <row r="39" spans="1:8" x14ac:dyDescent="0.25">
      <c r="A39" s="412" t="s">
        <v>263</v>
      </c>
      <c r="B39" s="412" t="s">
        <v>264</v>
      </c>
      <c r="C39" s="412" t="s">
        <v>300</v>
      </c>
      <c r="D39" s="412" t="s">
        <v>309</v>
      </c>
      <c r="E39" s="412" t="s">
        <v>344</v>
      </c>
      <c r="F39" s="412" t="s">
        <v>254</v>
      </c>
      <c r="G39" s="20">
        <v>38.299999999999997</v>
      </c>
      <c r="H39" s="20">
        <v>0</v>
      </c>
    </row>
    <row r="40" spans="1:8" x14ac:dyDescent="0.25">
      <c r="A40" s="412" t="s">
        <v>255</v>
      </c>
      <c r="B40" s="412" t="s">
        <v>256</v>
      </c>
      <c r="C40" s="412" t="s">
        <v>300</v>
      </c>
      <c r="D40" s="412" t="s">
        <v>309</v>
      </c>
      <c r="E40" s="412" t="s">
        <v>344</v>
      </c>
      <c r="F40" s="412" t="s">
        <v>254</v>
      </c>
      <c r="G40" s="20">
        <v>0</v>
      </c>
      <c r="H40" s="20">
        <v>38.299999999999997</v>
      </c>
    </row>
    <row r="41" spans="1:8" x14ac:dyDescent="0.25">
      <c r="A41" s="412" t="s">
        <v>257</v>
      </c>
      <c r="B41" s="412" t="s">
        <v>277</v>
      </c>
      <c r="C41" s="412" t="s">
        <v>311</v>
      </c>
      <c r="D41" s="412" t="s">
        <v>309</v>
      </c>
      <c r="E41" s="412" t="s">
        <v>343</v>
      </c>
      <c r="F41" s="412" t="s">
        <v>254</v>
      </c>
      <c r="G41" s="20">
        <v>0</v>
      </c>
      <c r="H41" s="20">
        <v>217.82</v>
      </c>
    </row>
    <row r="42" spans="1:8" ht="13.8" thickBot="1" x14ac:dyDescent="0.3">
      <c r="A42" s="411" t="s">
        <v>255</v>
      </c>
      <c r="B42" s="411" t="s">
        <v>256</v>
      </c>
      <c r="C42" s="411" t="s">
        <v>300</v>
      </c>
      <c r="D42" s="411" t="s">
        <v>309</v>
      </c>
      <c r="E42" s="411" t="s">
        <v>343</v>
      </c>
      <c r="F42" s="411" t="s">
        <v>254</v>
      </c>
      <c r="G42" s="410">
        <v>217.82</v>
      </c>
      <c r="H42" s="410">
        <v>0</v>
      </c>
    </row>
    <row r="44" spans="1:8" x14ac:dyDescent="0.25">
      <c r="A44" s="412" t="s">
        <v>259</v>
      </c>
      <c r="B44" s="412" t="s">
        <v>260</v>
      </c>
      <c r="C44" s="412" t="s">
        <v>300</v>
      </c>
      <c r="D44" s="412" t="s">
        <v>309</v>
      </c>
      <c r="E44" s="412" t="s">
        <v>342</v>
      </c>
      <c r="F44" s="412" t="s">
        <v>254</v>
      </c>
      <c r="G44" s="20">
        <v>241.15</v>
      </c>
      <c r="H44" s="20">
        <v>0</v>
      </c>
    </row>
    <row r="45" spans="1:8" ht="13.8" thickBot="1" x14ac:dyDescent="0.3">
      <c r="A45" s="411" t="s">
        <v>255</v>
      </c>
      <c r="B45" s="411" t="s">
        <v>256</v>
      </c>
      <c r="C45" s="411" t="s">
        <v>300</v>
      </c>
      <c r="D45" s="411" t="s">
        <v>309</v>
      </c>
      <c r="E45" s="411" t="s">
        <v>342</v>
      </c>
      <c r="F45" s="411" t="s">
        <v>254</v>
      </c>
      <c r="G45" s="410">
        <v>0</v>
      </c>
      <c r="H45" s="410">
        <v>241.15</v>
      </c>
    </row>
    <row r="47" spans="1:8" x14ac:dyDescent="0.25">
      <c r="A47" s="412" t="s">
        <v>301</v>
      </c>
      <c r="B47" s="412" t="s">
        <v>302</v>
      </c>
      <c r="C47" s="412" t="s">
        <v>300</v>
      </c>
      <c r="D47" s="412" t="s">
        <v>309</v>
      </c>
      <c r="E47" s="412" t="s">
        <v>341</v>
      </c>
      <c r="F47" s="412" t="s">
        <v>254</v>
      </c>
      <c r="G47" s="20">
        <v>229.17</v>
      </c>
      <c r="H47" s="20">
        <v>0</v>
      </c>
    </row>
    <row r="48" spans="1:8" ht="13.8" thickBot="1" x14ac:dyDescent="0.3">
      <c r="A48" s="411" t="s">
        <v>259</v>
      </c>
      <c r="B48" s="411" t="s">
        <v>260</v>
      </c>
      <c r="C48" s="411" t="s">
        <v>300</v>
      </c>
      <c r="D48" s="411" t="s">
        <v>309</v>
      </c>
      <c r="E48" s="411" t="s">
        <v>341</v>
      </c>
      <c r="F48" s="411" t="s">
        <v>254</v>
      </c>
      <c r="G48" s="410">
        <v>0</v>
      </c>
      <c r="H48" s="410">
        <v>229.17</v>
      </c>
    </row>
    <row r="50" spans="1:8" x14ac:dyDescent="0.25">
      <c r="A50" s="412" t="s">
        <v>257</v>
      </c>
      <c r="B50" s="412" t="s">
        <v>277</v>
      </c>
      <c r="C50" s="412" t="s">
        <v>300</v>
      </c>
      <c r="D50" s="412" t="s">
        <v>309</v>
      </c>
      <c r="E50" s="412" t="s">
        <v>340</v>
      </c>
      <c r="F50" s="412" t="s">
        <v>254</v>
      </c>
      <c r="G50" s="20">
        <v>217.82</v>
      </c>
      <c r="H50" s="20">
        <v>0</v>
      </c>
    </row>
    <row r="51" spans="1:8" x14ac:dyDescent="0.25">
      <c r="A51" s="412" t="s">
        <v>257</v>
      </c>
      <c r="B51" s="412" t="s">
        <v>277</v>
      </c>
      <c r="C51" s="412" t="s">
        <v>300</v>
      </c>
      <c r="D51" s="412" t="s">
        <v>311</v>
      </c>
      <c r="E51" s="412" t="s">
        <v>340</v>
      </c>
      <c r="F51" s="412" t="s">
        <v>254</v>
      </c>
      <c r="G51" s="20">
        <v>0</v>
      </c>
      <c r="H51" s="20">
        <v>217.82</v>
      </c>
    </row>
    <row r="52" spans="1:8" x14ac:dyDescent="0.25">
      <c r="A52" s="412" t="s">
        <v>257</v>
      </c>
      <c r="B52" s="412" t="s">
        <v>277</v>
      </c>
      <c r="C52" s="412" t="s">
        <v>300</v>
      </c>
      <c r="D52" s="412" t="s">
        <v>309</v>
      </c>
      <c r="E52" s="412" t="s">
        <v>339</v>
      </c>
      <c r="F52" s="412" t="s">
        <v>254</v>
      </c>
      <c r="G52" s="20">
        <v>48.41</v>
      </c>
      <c r="H52" s="20">
        <v>0</v>
      </c>
    </row>
    <row r="53" spans="1:8" x14ac:dyDescent="0.25">
      <c r="A53" s="412" t="s">
        <v>257</v>
      </c>
      <c r="B53" s="412" t="s">
        <v>277</v>
      </c>
      <c r="C53" s="412" t="s">
        <v>300</v>
      </c>
      <c r="D53" s="412" t="s">
        <v>311</v>
      </c>
      <c r="E53" s="412" t="s">
        <v>339</v>
      </c>
      <c r="F53" s="412" t="s">
        <v>254</v>
      </c>
      <c r="G53" s="20">
        <v>0</v>
      </c>
      <c r="H53" s="20">
        <v>48.41</v>
      </c>
    </row>
    <row r="54" spans="1:8" x14ac:dyDescent="0.25">
      <c r="A54" s="412" t="s">
        <v>257</v>
      </c>
      <c r="B54" s="412" t="s">
        <v>277</v>
      </c>
      <c r="C54" s="412" t="s">
        <v>300</v>
      </c>
      <c r="D54" s="412" t="s">
        <v>309</v>
      </c>
      <c r="E54" s="412" t="s">
        <v>339</v>
      </c>
      <c r="F54" s="412" t="s">
        <v>254</v>
      </c>
      <c r="G54" s="20">
        <v>69.95</v>
      </c>
      <c r="H54" s="20">
        <v>0</v>
      </c>
    </row>
    <row r="55" spans="1:8" x14ac:dyDescent="0.25">
      <c r="A55" s="412" t="s">
        <v>257</v>
      </c>
      <c r="B55" s="412" t="s">
        <v>277</v>
      </c>
      <c r="C55" s="412" t="s">
        <v>300</v>
      </c>
      <c r="D55" s="412" t="s">
        <v>310</v>
      </c>
      <c r="E55" s="412" t="s">
        <v>339</v>
      </c>
      <c r="F55" s="412" t="s">
        <v>254</v>
      </c>
      <c r="G55" s="20">
        <v>0</v>
      </c>
      <c r="H55" s="20">
        <v>69.95</v>
      </c>
    </row>
    <row r="56" spans="1:8" x14ac:dyDescent="0.25">
      <c r="A56" s="412" t="s">
        <v>257</v>
      </c>
      <c r="B56" s="412" t="s">
        <v>277</v>
      </c>
      <c r="C56" s="412" t="s">
        <v>300</v>
      </c>
      <c r="D56" s="412" t="s">
        <v>310</v>
      </c>
      <c r="E56" s="412" t="s">
        <v>338</v>
      </c>
      <c r="F56" s="412" t="s">
        <v>254</v>
      </c>
      <c r="G56" s="20">
        <v>27.78</v>
      </c>
      <c r="H56" s="20">
        <v>0</v>
      </c>
    </row>
    <row r="57" spans="1:8" x14ac:dyDescent="0.25">
      <c r="A57" s="412" t="s">
        <v>259</v>
      </c>
      <c r="B57" s="412" t="s">
        <v>260</v>
      </c>
      <c r="C57" s="412" t="s">
        <v>300</v>
      </c>
      <c r="D57" s="412" t="s">
        <v>309</v>
      </c>
      <c r="E57" s="412" t="s">
        <v>338</v>
      </c>
      <c r="F57" s="412" t="s">
        <v>254</v>
      </c>
      <c r="G57" s="20">
        <v>0</v>
      </c>
      <c r="H57" s="20">
        <v>27.78</v>
      </c>
    </row>
    <row r="58" spans="1:8" x14ac:dyDescent="0.25">
      <c r="A58" s="412" t="s">
        <v>257</v>
      </c>
      <c r="B58" s="412" t="s">
        <v>277</v>
      </c>
      <c r="C58" s="412" t="s">
        <v>300</v>
      </c>
      <c r="D58" s="412" t="s">
        <v>309</v>
      </c>
      <c r="E58" s="412" t="s">
        <v>338</v>
      </c>
      <c r="F58" s="412" t="s">
        <v>254</v>
      </c>
      <c r="G58" s="20">
        <v>13.89</v>
      </c>
      <c r="H58" s="20">
        <v>0</v>
      </c>
    </row>
    <row r="59" spans="1:8" ht="13.8" thickBot="1" x14ac:dyDescent="0.3">
      <c r="A59" s="411" t="s">
        <v>259</v>
      </c>
      <c r="B59" s="411" t="s">
        <v>260</v>
      </c>
      <c r="C59" s="411" t="s">
        <v>300</v>
      </c>
      <c r="D59" s="411" t="s">
        <v>309</v>
      </c>
      <c r="E59" s="411" t="s">
        <v>338</v>
      </c>
      <c r="F59" s="411" t="s">
        <v>254</v>
      </c>
      <c r="G59" s="410">
        <v>0</v>
      </c>
      <c r="H59" s="410">
        <v>13.89</v>
      </c>
    </row>
    <row r="61" spans="1:8" x14ac:dyDescent="0.25">
      <c r="A61" s="412" t="s">
        <v>257</v>
      </c>
      <c r="B61" s="412" t="s">
        <v>277</v>
      </c>
      <c r="C61" s="412" t="s">
        <v>300</v>
      </c>
      <c r="D61" s="412" t="s">
        <v>309</v>
      </c>
      <c r="E61" s="412" t="s">
        <v>337</v>
      </c>
      <c r="F61" s="412" t="s">
        <v>254</v>
      </c>
      <c r="G61" s="20">
        <v>16.97</v>
      </c>
      <c r="H61" s="20">
        <v>0</v>
      </c>
    </row>
    <row r="62" spans="1:8" ht="13.8" thickBot="1" x14ac:dyDescent="0.3">
      <c r="A62" s="411" t="s">
        <v>257</v>
      </c>
      <c r="B62" s="411" t="s">
        <v>277</v>
      </c>
      <c r="C62" s="411" t="s">
        <v>300</v>
      </c>
      <c r="D62" s="411" t="s">
        <v>310</v>
      </c>
      <c r="E62" s="411" t="s">
        <v>337</v>
      </c>
      <c r="F62" s="411" t="s">
        <v>254</v>
      </c>
      <c r="G62" s="410">
        <v>0</v>
      </c>
      <c r="H62" s="410">
        <v>16.97</v>
      </c>
    </row>
    <row r="64" spans="1:8" x14ac:dyDescent="0.25">
      <c r="A64" s="412" t="s">
        <v>335</v>
      </c>
      <c r="B64" s="412" t="s">
        <v>334</v>
      </c>
      <c r="C64" s="412" t="s">
        <v>300</v>
      </c>
      <c r="D64" s="412" t="s">
        <v>309</v>
      </c>
      <c r="E64" s="412" t="s">
        <v>336</v>
      </c>
      <c r="F64" s="412" t="s">
        <v>254</v>
      </c>
      <c r="G64" s="20">
        <v>185</v>
      </c>
      <c r="H64" s="20">
        <v>0</v>
      </c>
    </row>
    <row r="65" spans="1:8" x14ac:dyDescent="0.25">
      <c r="A65" s="412" t="s">
        <v>259</v>
      </c>
      <c r="B65" s="412" t="s">
        <v>260</v>
      </c>
      <c r="C65" s="412" t="s">
        <v>300</v>
      </c>
      <c r="D65" s="412" t="s">
        <v>309</v>
      </c>
      <c r="E65" s="412" t="s">
        <v>336</v>
      </c>
      <c r="F65" s="412" t="s">
        <v>254</v>
      </c>
      <c r="G65" s="20">
        <v>0</v>
      </c>
      <c r="H65" s="20">
        <v>185</v>
      </c>
    </row>
    <row r="66" spans="1:8" x14ac:dyDescent="0.25">
      <c r="A66" s="412" t="s">
        <v>335</v>
      </c>
      <c r="B66" s="412" t="s">
        <v>334</v>
      </c>
      <c r="C66" s="412" t="s">
        <v>300</v>
      </c>
      <c r="D66" s="412" t="s">
        <v>309</v>
      </c>
      <c r="E66" s="412" t="s">
        <v>333</v>
      </c>
      <c r="F66" s="412" t="s">
        <v>254</v>
      </c>
      <c r="G66" s="20">
        <v>0</v>
      </c>
      <c r="H66" s="20">
        <v>1985</v>
      </c>
    </row>
    <row r="67" spans="1:8" ht="13.8" thickBot="1" x14ac:dyDescent="0.3">
      <c r="A67" s="411" t="s">
        <v>259</v>
      </c>
      <c r="B67" s="411" t="s">
        <v>260</v>
      </c>
      <c r="C67" s="411" t="s">
        <v>300</v>
      </c>
      <c r="D67" s="411" t="s">
        <v>309</v>
      </c>
      <c r="E67" s="411" t="s">
        <v>333</v>
      </c>
      <c r="F67" s="411" t="s">
        <v>254</v>
      </c>
      <c r="G67" s="410">
        <v>1985</v>
      </c>
      <c r="H67" s="410">
        <v>0</v>
      </c>
    </row>
    <row r="70" spans="1:8" x14ac:dyDescent="0.25">
      <c r="A70" s="412" t="s">
        <v>255</v>
      </c>
      <c r="B70" s="412" t="s">
        <v>256</v>
      </c>
      <c r="C70" s="412" t="s">
        <v>300</v>
      </c>
      <c r="D70" s="412" t="s">
        <v>309</v>
      </c>
      <c r="E70" s="412" t="s">
        <v>349</v>
      </c>
      <c r="F70" s="412" t="s">
        <v>254</v>
      </c>
      <c r="G70" s="20">
        <v>0</v>
      </c>
      <c r="H70" s="20">
        <v>241.15</v>
      </c>
    </row>
    <row r="71" spans="1:8" ht="13.8" thickBot="1" x14ac:dyDescent="0.3">
      <c r="A71" s="411" t="s">
        <v>261</v>
      </c>
      <c r="B71" s="411" t="s">
        <v>262</v>
      </c>
      <c r="C71" s="411" t="s">
        <v>300</v>
      </c>
      <c r="D71" s="411" t="s">
        <v>309</v>
      </c>
      <c r="E71" s="411" t="s">
        <v>349</v>
      </c>
      <c r="F71" s="411" t="s">
        <v>254</v>
      </c>
      <c r="G71" s="410">
        <v>241.15</v>
      </c>
      <c r="H71" s="410">
        <v>0</v>
      </c>
    </row>
    <row r="73" spans="1:8" x14ac:dyDescent="0.25">
      <c r="A73" s="412" t="s">
        <v>257</v>
      </c>
      <c r="B73" s="412" t="s">
        <v>277</v>
      </c>
      <c r="C73" s="412" t="s">
        <v>300</v>
      </c>
      <c r="D73" s="412" t="s">
        <v>309</v>
      </c>
      <c r="E73" s="412" t="s">
        <v>350</v>
      </c>
      <c r="F73" s="412" t="s">
        <v>254</v>
      </c>
      <c r="G73" s="20">
        <v>79.34</v>
      </c>
      <c r="H73" s="20">
        <v>0</v>
      </c>
    </row>
    <row r="74" spans="1:8" x14ac:dyDescent="0.25">
      <c r="A74" s="412" t="s">
        <v>257</v>
      </c>
      <c r="B74" s="412" t="s">
        <v>277</v>
      </c>
      <c r="C74" s="412" t="s">
        <v>300</v>
      </c>
      <c r="D74" s="412" t="s">
        <v>310</v>
      </c>
      <c r="E74" s="412" t="s">
        <v>350</v>
      </c>
      <c r="F74" s="412" t="s">
        <v>254</v>
      </c>
      <c r="G74" s="20">
        <v>0</v>
      </c>
      <c r="H74" s="20">
        <v>79.34</v>
      </c>
    </row>
    <row r="75" spans="1:8" x14ac:dyDescent="0.25">
      <c r="A75" s="412" t="s">
        <v>257</v>
      </c>
      <c r="B75" s="412" t="s">
        <v>277</v>
      </c>
      <c r="C75" s="412" t="s">
        <v>300</v>
      </c>
      <c r="D75" s="412" t="s">
        <v>309</v>
      </c>
      <c r="E75" s="412" t="s">
        <v>351</v>
      </c>
      <c r="F75" s="412" t="s">
        <v>254</v>
      </c>
      <c r="G75" s="20">
        <v>35.14</v>
      </c>
      <c r="H75" s="20">
        <v>0</v>
      </c>
    </row>
    <row r="76" spans="1:8" ht="13.8" thickBot="1" x14ac:dyDescent="0.3">
      <c r="A76" s="411" t="s">
        <v>257</v>
      </c>
      <c r="B76" s="411" t="s">
        <v>277</v>
      </c>
      <c r="C76" s="411" t="s">
        <v>300</v>
      </c>
      <c r="D76" s="411" t="s">
        <v>311</v>
      </c>
      <c r="E76" s="411" t="s">
        <v>351</v>
      </c>
      <c r="F76" s="411" t="s">
        <v>254</v>
      </c>
      <c r="G76" s="410">
        <v>0</v>
      </c>
      <c r="H76" s="410">
        <v>35.14</v>
      </c>
    </row>
    <row r="78" spans="1:8" x14ac:dyDescent="0.25">
      <c r="A78" s="412" t="s">
        <v>257</v>
      </c>
      <c r="B78" s="412" t="s">
        <v>258</v>
      </c>
      <c r="C78" s="412" t="s">
        <v>300</v>
      </c>
      <c r="D78" s="412" t="s">
        <v>310</v>
      </c>
      <c r="E78" s="412" t="s">
        <v>352</v>
      </c>
      <c r="F78" s="412" t="s">
        <v>254</v>
      </c>
      <c r="G78" s="20">
        <v>0</v>
      </c>
      <c r="H78" s="20">
        <v>4.7300000000000004</v>
      </c>
    </row>
    <row r="79" spans="1:8" x14ac:dyDescent="0.25">
      <c r="A79" s="412" t="s">
        <v>257</v>
      </c>
      <c r="B79" s="412" t="s">
        <v>277</v>
      </c>
      <c r="C79" s="412" t="s">
        <v>300</v>
      </c>
      <c r="D79" s="412" t="s">
        <v>309</v>
      </c>
      <c r="E79" s="412" t="s">
        <v>352</v>
      </c>
      <c r="F79" s="412" t="s">
        <v>254</v>
      </c>
      <c r="G79" s="20">
        <v>0</v>
      </c>
      <c r="H79" s="20">
        <v>2.37</v>
      </c>
    </row>
    <row r="80" spans="1:8" x14ac:dyDescent="0.25">
      <c r="A80" s="412" t="s">
        <v>259</v>
      </c>
      <c r="B80" s="412" t="s">
        <v>260</v>
      </c>
      <c r="C80" s="412" t="s">
        <v>300</v>
      </c>
      <c r="D80" s="412" t="s">
        <v>310</v>
      </c>
      <c r="E80" s="412" t="s">
        <v>353</v>
      </c>
      <c r="F80" s="412" t="s">
        <v>254</v>
      </c>
      <c r="G80" s="20">
        <v>7.1</v>
      </c>
      <c r="H80" s="20">
        <v>0</v>
      </c>
    </row>
    <row r="81" spans="1:8" x14ac:dyDescent="0.25">
      <c r="A81" s="412" t="s">
        <v>257</v>
      </c>
      <c r="B81" s="412" t="s">
        <v>277</v>
      </c>
      <c r="C81" s="412" t="s">
        <v>300</v>
      </c>
      <c r="D81" s="412" t="s">
        <v>311</v>
      </c>
      <c r="E81" s="412" t="s">
        <v>354</v>
      </c>
      <c r="F81" s="412" t="s">
        <v>254</v>
      </c>
      <c r="G81" s="20">
        <v>0</v>
      </c>
      <c r="H81" s="20">
        <v>3.73</v>
      </c>
    </row>
    <row r="82" spans="1:8" x14ac:dyDescent="0.25">
      <c r="A82" s="412" t="s">
        <v>257</v>
      </c>
      <c r="B82" s="412" t="s">
        <v>277</v>
      </c>
      <c r="C82" s="412" t="s">
        <v>300</v>
      </c>
      <c r="D82" s="412" t="s">
        <v>309</v>
      </c>
      <c r="E82" s="412" t="s">
        <v>354</v>
      </c>
      <c r="F82" s="412" t="s">
        <v>254</v>
      </c>
      <c r="G82" s="20">
        <v>0</v>
      </c>
      <c r="H82" s="20">
        <v>1.87</v>
      </c>
    </row>
    <row r="83" spans="1:8" ht="13.8" thickBot="1" x14ac:dyDescent="0.3">
      <c r="A83" s="411" t="s">
        <v>259</v>
      </c>
      <c r="B83" s="411" t="s">
        <v>260</v>
      </c>
      <c r="C83" s="411" t="s">
        <v>300</v>
      </c>
      <c r="D83" s="411" t="s">
        <v>311</v>
      </c>
      <c r="E83" s="411" t="s">
        <v>354</v>
      </c>
      <c r="F83" s="411" t="s">
        <v>254</v>
      </c>
      <c r="G83" s="410">
        <v>5.6</v>
      </c>
      <c r="H83" s="410">
        <v>0</v>
      </c>
    </row>
    <row r="84" spans="1:8" x14ac:dyDescent="0.25">
      <c r="A84" s="412" t="s">
        <v>263</v>
      </c>
      <c r="B84" s="412" t="s">
        <v>264</v>
      </c>
      <c r="C84" s="412" t="s">
        <v>300</v>
      </c>
      <c r="D84" s="412" t="s">
        <v>309</v>
      </c>
      <c r="E84" s="412" t="s">
        <v>355</v>
      </c>
      <c r="F84" s="412" t="s">
        <v>254</v>
      </c>
      <c r="G84" s="20">
        <v>38.299999999999997</v>
      </c>
      <c r="H84" s="20">
        <v>0</v>
      </c>
    </row>
    <row r="85" spans="1:8" ht="13.8" thickBot="1" x14ac:dyDescent="0.3">
      <c r="A85" s="411" t="s">
        <v>255</v>
      </c>
      <c r="B85" s="411" t="s">
        <v>256</v>
      </c>
      <c r="C85" s="411" t="s">
        <v>300</v>
      </c>
      <c r="D85" s="411" t="s">
        <v>309</v>
      </c>
      <c r="E85" s="411" t="s">
        <v>355</v>
      </c>
      <c r="F85" s="411" t="s">
        <v>254</v>
      </c>
      <c r="G85" s="410">
        <v>0</v>
      </c>
      <c r="H85" s="410">
        <v>38.299999999999997</v>
      </c>
    </row>
    <row r="87" spans="1:8" x14ac:dyDescent="0.25">
      <c r="A87" s="412" t="s">
        <v>301</v>
      </c>
      <c r="B87" s="412" t="s">
        <v>302</v>
      </c>
      <c r="C87" s="412" t="s">
        <v>300</v>
      </c>
      <c r="D87" s="412" t="s">
        <v>309</v>
      </c>
      <c r="E87" s="412" t="s">
        <v>356</v>
      </c>
      <c r="F87" s="412" t="s">
        <v>254</v>
      </c>
      <c r="G87" s="20">
        <v>229.17</v>
      </c>
      <c r="H87" s="20">
        <v>0</v>
      </c>
    </row>
    <row r="88" spans="1:8" ht="13.8" thickBot="1" x14ac:dyDescent="0.3">
      <c r="A88" s="411" t="s">
        <v>259</v>
      </c>
      <c r="B88" s="411" t="s">
        <v>260</v>
      </c>
      <c r="C88" s="411" t="s">
        <v>300</v>
      </c>
      <c r="D88" s="411" t="s">
        <v>309</v>
      </c>
      <c r="E88" s="411" t="s">
        <v>356</v>
      </c>
      <c r="F88" s="411" t="s">
        <v>254</v>
      </c>
      <c r="G88" s="410">
        <v>0</v>
      </c>
      <c r="H88" s="410">
        <v>229.17</v>
      </c>
    </row>
    <row r="91" spans="1:8" x14ac:dyDescent="0.25">
      <c r="A91" s="412" t="s">
        <v>255</v>
      </c>
      <c r="B91" s="412" t="s">
        <v>256</v>
      </c>
      <c r="C91" s="412" t="s">
        <v>300</v>
      </c>
      <c r="D91" s="412" t="s">
        <v>309</v>
      </c>
      <c r="E91" s="412" t="s">
        <v>357</v>
      </c>
      <c r="F91" s="412" t="s">
        <v>254</v>
      </c>
      <c r="G91" s="20">
        <v>0</v>
      </c>
      <c r="H91" s="20">
        <v>217.82</v>
      </c>
    </row>
    <row r="92" spans="1:8" ht="13.8" thickBot="1" x14ac:dyDescent="0.3">
      <c r="A92" s="411" t="s">
        <v>257</v>
      </c>
      <c r="B92" s="411" t="s">
        <v>277</v>
      </c>
      <c r="C92" s="411" t="s">
        <v>300</v>
      </c>
      <c r="D92" s="411" t="s">
        <v>311</v>
      </c>
      <c r="E92" s="411" t="s">
        <v>357</v>
      </c>
      <c r="F92" s="411" t="s">
        <v>254</v>
      </c>
      <c r="G92" s="410">
        <v>217.82</v>
      </c>
      <c r="H92" s="410">
        <v>0</v>
      </c>
    </row>
    <row r="95" spans="1:8" x14ac:dyDescent="0.25">
      <c r="A95" s="412" t="s">
        <v>255</v>
      </c>
      <c r="B95" s="412" t="s">
        <v>256</v>
      </c>
      <c r="C95" s="412" t="s">
        <v>300</v>
      </c>
      <c r="D95" s="412" t="s">
        <v>309</v>
      </c>
      <c r="E95" s="412" t="s">
        <v>358</v>
      </c>
      <c r="F95" s="412" t="s">
        <v>254</v>
      </c>
      <c r="G95" s="20">
        <v>0</v>
      </c>
      <c r="H95" s="20">
        <v>241.15</v>
      </c>
    </row>
    <row r="96" spans="1:8" ht="13.8" thickBot="1" x14ac:dyDescent="0.3">
      <c r="A96" s="411" t="s">
        <v>261</v>
      </c>
      <c r="B96" s="411" t="s">
        <v>262</v>
      </c>
      <c r="C96" s="411" t="s">
        <v>300</v>
      </c>
      <c r="D96" s="411" t="s">
        <v>309</v>
      </c>
      <c r="E96" s="411" t="s">
        <v>358</v>
      </c>
      <c r="F96" s="411" t="s">
        <v>254</v>
      </c>
      <c r="G96" s="410">
        <v>241.15</v>
      </c>
      <c r="H96" s="410">
        <v>0</v>
      </c>
    </row>
    <row r="98" spans="1:8" x14ac:dyDescent="0.25">
      <c r="A98" s="412" t="s">
        <v>257</v>
      </c>
      <c r="B98" s="412" t="s">
        <v>277</v>
      </c>
      <c r="C98" s="412" t="s">
        <v>300</v>
      </c>
      <c r="D98" s="412" t="s">
        <v>311</v>
      </c>
      <c r="E98" s="412" t="s">
        <v>359</v>
      </c>
      <c r="F98" s="412" t="s">
        <v>254</v>
      </c>
      <c r="G98" s="20">
        <v>0</v>
      </c>
      <c r="H98" s="20">
        <v>159.30000000000001</v>
      </c>
    </row>
    <row r="99" spans="1:8" ht="13.8" thickBot="1" x14ac:dyDescent="0.3">
      <c r="A99" s="411" t="s">
        <v>255</v>
      </c>
      <c r="B99" s="411" t="s">
        <v>256</v>
      </c>
      <c r="C99" s="411" t="s">
        <v>300</v>
      </c>
      <c r="D99" s="411" t="s">
        <v>309</v>
      </c>
      <c r="E99" s="411" t="s">
        <v>359</v>
      </c>
      <c r="F99" s="411" t="s">
        <v>254</v>
      </c>
      <c r="G99" s="410">
        <v>159.30000000000001</v>
      </c>
      <c r="H99" s="410">
        <v>0</v>
      </c>
    </row>
    <row r="101" spans="1:8" x14ac:dyDescent="0.25">
      <c r="A101" s="412" t="s">
        <v>301</v>
      </c>
      <c r="B101" s="412" t="s">
        <v>302</v>
      </c>
      <c r="C101" s="412" t="s">
        <v>300</v>
      </c>
      <c r="D101" s="412" t="s">
        <v>309</v>
      </c>
      <c r="E101" s="412" t="s">
        <v>360</v>
      </c>
      <c r="F101" s="412" t="s">
        <v>254</v>
      </c>
      <c r="G101" s="20">
        <v>0</v>
      </c>
      <c r="H101" s="20">
        <v>229.17</v>
      </c>
    </row>
    <row r="102" spans="1:8" x14ac:dyDescent="0.25">
      <c r="A102" s="412" t="s">
        <v>259</v>
      </c>
      <c r="B102" s="412" t="s">
        <v>260</v>
      </c>
      <c r="C102" s="412" t="s">
        <v>300</v>
      </c>
      <c r="D102" s="412" t="s">
        <v>309</v>
      </c>
      <c r="E102" s="412" t="s">
        <v>360</v>
      </c>
      <c r="F102" s="412" t="s">
        <v>254</v>
      </c>
      <c r="G102" s="20">
        <v>229.17</v>
      </c>
      <c r="H102" s="20">
        <v>0</v>
      </c>
    </row>
    <row r="103" spans="1:8" x14ac:dyDescent="0.25">
      <c r="A103" s="412" t="s">
        <v>301</v>
      </c>
      <c r="B103" s="412" t="s">
        <v>302</v>
      </c>
      <c r="C103" s="412" t="s">
        <v>300</v>
      </c>
      <c r="D103" s="412" t="s">
        <v>309</v>
      </c>
      <c r="E103" s="412" t="s">
        <v>361</v>
      </c>
      <c r="F103" s="412" t="s">
        <v>254</v>
      </c>
      <c r="G103" s="20">
        <v>15.07</v>
      </c>
      <c r="H103" s="20">
        <v>0</v>
      </c>
    </row>
    <row r="104" spans="1:8" x14ac:dyDescent="0.25">
      <c r="A104" s="412" t="s">
        <v>259</v>
      </c>
      <c r="B104" s="412" t="s">
        <v>260</v>
      </c>
      <c r="C104" s="412" t="s">
        <v>300</v>
      </c>
      <c r="D104" s="412" t="s">
        <v>309</v>
      </c>
      <c r="E104" s="412" t="s">
        <v>361</v>
      </c>
      <c r="F104" s="412" t="s">
        <v>254</v>
      </c>
      <c r="G104" s="20">
        <v>0</v>
      </c>
      <c r="H104" s="20">
        <v>15.07</v>
      </c>
    </row>
    <row r="105" spans="1:8" x14ac:dyDescent="0.25">
      <c r="A105" s="412" t="s">
        <v>301</v>
      </c>
      <c r="B105" s="412" t="s">
        <v>302</v>
      </c>
      <c r="C105" s="412" t="s">
        <v>300</v>
      </c>
      <c r="D105" s="412" t="s">
        <v>309</v>
      </c>
      <c r="E105" s="412" t="s">
        <v>362</v>
      </c>
      <c r="F105" s="412" t="s">
        <v>254</v>
      </c>
      <c r="G105" s="20">
        <v>214.1</v>
      </c>
      <c r="H105" s="20">
        <v>0</v>
      </c>
    </row>
    <row r="106" spans="1:8" ht="13.8" thickBot="1" x14ac:dyDescent="0.3">
      <c r="A106" s="411" t="s">
        <v>259</v>
      </c>
      <c r="B106" s="411" t="s">
        <v>260</v>
      </c>
      <c r="C106" s="411" t="s">
        <v>300</v>
      </c>
      <c r="D106" s="411" t="s">
        <v>309</v>
      </c>
      <c r="E106" s="411" t="s">
        <v>362</v>
      </c>
      <c r="F106" s="411" t="s">
        <v>254</v>
      </c>
      <c r="G106" s="410">
        <v>0</v>
      </c>
      <c r="H106" s="410">
        <v>214.1</v>
      </c>
    </row>
    <row r="109" spans="1:8" x14ac:dyDescent="0.25">
      <c r="A109" s="412" t="s">
        <v>257</v>
      </c>
      <c r="B109" s="412" t="s">
        <v>258</v>
      </c>
      <c r="C109" s="412" t="s">
        <v>300</v>
      </c>
      <c r="D109" s="412" t="s">
        <v>310</v>
      </c>
      <c r="E109" s="412" t="s">
        <v>363</v>
      </c>
      <c r="F109" s="412" t="s">
        <v>254</v>
      </c>
      <c r="G109" s="20">
        <v>10.210000000000001</v>
      </c>
      <c r="H109" s="20">
        <v>0</v>
      </c>
    </row>
    <row r="110" spans="1:8" x14ac:dyDescent="0.25">
      <c r="A110" s="412" t="s">
        <v>257</v>
      </c>
      <c r="B110" s="412" t="s">
        <v>277</v>
      </c>
      <c r="C110" s="412" t="s">
        <v>300</v>
      </c>
      <c r="D110" s="412" t="s">
        <v>309</v>
      </c>
      <c r="E110" s="412" t="s">
        <v>363</v>
      </c>
      <c r="F110" s="412" t="s">
        <v>254</v>
      </c>
      <c r="G110" s="20">
        <v>5.1100000000000003</v>
      </c>
      <c r="H110" s="20">
        <v>0</v>
      </c>
    </row>
    <row r="111" spans="1:8" x14ac:dyDescent="0.25">
      <c r="A111" s="412" t="s">
        <v>259</v>
      </c>
      <c r="B111" s="412" t="s">
        <v>260</v>
      </c>
      <c r="C111" s="412" t="s">
        <v>300</v>
      </c>
      <c r="D111" s="412" t="s">
        <v>310</v>
      </c>
      <c r="E111" s="412" t="s">
        <v>363</v>
      </c>
      <c r="F111" s="412" t="s">
        <v>254</v>
      </c>
      <c r="G111" s="20">
        <v>0</v>
      </c>
      <c r="H111" s="20">
        <v>15.32</v>
      </c>
    </row>
    <row r="112" spans="1:8" x14ac:dyDescent="0.25">
      <c r="A112" s="412" t="s">
        <v>257</v>
      </c>
      <c r="B112" s="412" t="s">
        <v>277</v>
      </c>
      <c r="C112" s="412" t="s">
        <v>300</v>
      </c>
      <c r="D112" s="412" t="s">
        <v>311</v>
      </c>
      <c r="E112" s="412" t="s">
        <v>364</v>
      </c>
      <c r="F112" s="412" t="s">
        <v>254</v>
      </c>
      <c r="G112" s="20">
        <v>0</v>
      </c>
      <c r="H112" s="20">
        <v>15.74</v>
      </c>
    </row>
    <row r="113" spans="1:8" x14ac:dyDescent="0.25">
      <c r="A113" s="412" t="s">
        <v>257</v>
      </c>
      <c r="B113" s="412" t="s">
        <v>277</v>
      </c>
      <c r="C113" s="412" t="s">
        <v>300</v>
      </c>
      <c r="D113" s="412" t="s">
        <v>309</v>
      </c>
      <c r="E113" s="412" t="s">
        <v>364</v>
      </c>
      <c r="F113" s="412" t="s">
        <v>254</v>
      </c>
      <c r="G113" s="20">
        <v>0</v>
      </c>
      <c r="H113" s="20">
        <v>7.87</v>
      </c>
    </row>
    <row r="114" spans="1:8" x14ac:dyDescent="0.25">
      <c r="A114" s="412" t="s">
        <v>259</v>
      </c>
      <c r="B114" s="412" t="s">
        <v>260</v>
      </c>
      <c r="C114" s="412" t="s">
        <v>300</v>
      </c>
      <c r="D114" s="412" t="s">
        <v>311</v>
      </c>
      <c r="E114" s="412" t="s">
        <v>364</v>
      </c>
      <c r="F114" s="412" t="s">
        <v>254</v>
      </c>
      <c r="G114" s="20">
        <v>23.61</v>
      </c>
      <c r="H114" s="20">
        <v>0</v>
      </c>
    </row>
    <row r="115" spans="1:8" x14ac:dyDescent="0.25">
      <c r="A115" s="412" t="s">
        <v>263</v>
      </c>
      <c r="B115" s="412" t="s">
        <v>264</v>
      </c>
      <c r="C115" s="412" t="s">
        <v>300</v>
      </c>
      <c r="D115" s="412" t="s">
        <v>309</v>
      </c>
      <c r="E115" s="412" t="s">
        <v>365</v>
      </c>
      <c r="F115" s="412" t="s">
        <v>254</v>
      </c>
      <c r="G115" s="20">
        <v>38.299999999999997</v>
      </c>
      <c r="H115" s="20">
        <v>0</v>
      </c>
    </row>
    <row r="116" spans="1:8" ht="13.8" thickBot="1" x14ac:dyDescent="0.3">
      <c r="A116" s="411" t="s">
        <v>255</v>
      </c>
      <c r="B116" s="411" t="s">
        <v>256</v>
      </c>
      <c r="C116" s="411" t="s">
        <v>300</v>
      </c>
      <c r="D116" s="411" t="s">
        <v>309</v>
      </c>
      <c r="E116" s="411" t="s">
        <v>365</v>
      </c>
      <c r="F116" s="411" t="s">
        <v>254</v>
      </c>
      <c r="G116" s="410">
        <v>0</v>
      </c>
      <c r="H116" s="410">
        <v>38.299999999999997</v>
      </c>
    </row>
    <row r="118" spans="1:8" x14ac:dyDescent="0.25">
      <c r="A118" s="412" t="s">
        <v>257</v>
      </c>
      <c r="B118" s="412" t="s">
        <v>277</v>
      </c>
      <c r="C118" s="412" t="s">
        <v>300</v>
      </c>
      <c r="D118" s="412" t="s">
        <v>309</v>
      </c>
      <c r="E118" s="412" t="s">
        <v>366</v>
      </c>
      <c r="F118" s="412" t="s">
        <v>254</v>
      </c>
      <c r="G118" s="20">
        <v>79.34</v>
      </c>
      <c r="H118" s="20">
        <v>0</v>
      </c>
    </row>
    <row r="119" spans="1:8" x14ac:dyDescent="0.25">
      <c r="A119" s="412" t="s">
        <v>257</v>
      </c>
      <c r="B119" s="412" t="s">
        <v>277</v>
      </c>
      <c r="C119" s="412" t="s">
        <v>300</v>
      </c>
      <c r="D119" s="412" t="s">
        <v>310</v>
      </c>
      <c r="E119" s="412" t="s">
        <v>366</v>
      </c>
      <c r="F119" s="412" t="s">
        <v>254</v>
      </c>
      <c r="G119" s="20">
        <v>0</v>
      </c>
      <c r="H119" s="20">
        <v>79.34</v>
      </c>
    </row>
    <row r="120" spans="1:8" x14ac:dyDescent="0.25">
      <c r="A120" s="412" t="s">
        <v>257</v>
      </c>
      <c r="B120" s="412" t="s">
        <v>277</v>
      </c>
      <c r="C120" s="412" t="s">
        <v>300</v>
      </c>
      <c r="D120" s="412" t="s">
        <v>309</v>
      </c>
      <c r="E120" s="412" t="s">
        <v>367</v>
      </c>
      <c r="F120" s="412" t="s">
        <v>254</v>
      </c>
      <c r="G120" s="20">
        <v>35.4</v>
      </c>
      <c r="H120" s="20">
        <v>0</v>
      </c>
    </row>
    <row r="121" spans="1:8" ht="13.8" thickBot="1" x14ac:dyDescent="0.3">
      <c r="A121" s="411" t="s">
        <v>257</v>
      </c>
      <c r="B121" s="411" t="s">
        <v>277</v>
      </c>
      <c r="C121" s="411" t="s">
        <v>300</v>
      </c>
      <c r="D121" s="411" t="s">
        <v>311</v>
      </c>
      <c r="E121" s="411" t="s">
        <v>367</v>
      </c>
      <c r="F121" s="411" t="s">
        <v>254</v>
      </c>
      <c r="G121" s="410">
        <v>0</v>
      </c>
      <c r="H121" s="410">
        <v>35.4</v>
      </c>
    </row>
    <row r="123" spans="1:8" x14ac:dyDescent="0.25">
      <c r="A123" s="412" t="s">
        <v>257</v>
      </c>
      <c r="B123" s="412" t="s">
        <v>277</v>
      </c>
      <c r="C123" s="412" t="s">
        <v>300</v>
      </c>
      <c r="D123" s="412" t="s">
        <v>310</v>
      </c>
      <c r="E123" s="412" t="s">
        <v>368</v>
      </c>
      <c r="F123" s="412" t="s">
        <v>254</v>
      </c>
      <c r="G123" s="20">
        <v>3.36</v>
      </c>
      <c r="H123" s="20">
        <v>0</v>
      </c>
    </row>
    <row r="124" spans="1:8" ht="13.8" thickBot="1" x14ac:dyDescent="0.3">
      <c r="A124" s="411" t="s">
        <v>257</v>
      </c>
      <c r="B124" s="411" t="s">
        <v>277</v>
      </c>
      <c r="C124" s="411" t="s">
        <v>300</v>
      </c>
      <c r="D124" s="411" t="s">
        <v>309</v>
      </c>
      <c r="E124" s="411" t="s">
        <v>368</v>
      </c>
      <c r="F124" s="411" t="s">
        <v>254</v>
      </c>
      <c r="G124" s="410">
        <v>0</v>
      </c>
      <c r="H124" s="410">
        <v>3.36</v>
      </c>
    </row>
    <row r="127" spans="1:8" x14ac:dyDescent="0.25">
      <c r="A127" s="412" t="s">
        <v>257</v>
      </c>
      <c r="B127" s="412" t="s">
        <v>258</v>
      </c>
      <c r="C127" s="412" t="s">
        <v>300</v>
      </c>
      <c r="D127" s="412" t="s">
        <v>310</v>
      </c>
      <c r="E127" s="412" t="s">
        <v>381</v>
      </c>
      <c r="F127" s="412" t="s">
        <v>254</v>
      </c>
      <c r="G127" s="20">
        <v>0</v>
      </c>
      <c r="H127" s="20">
        <v>12.47</v>
      </c>
    </row>
    <row r="128" spans="1:8" x14ac:dyDescent="0.25">
      <c r="A128" s="412" t="s">
        <v>257</v>
      </c>
      <c r="B128" s="412" t="s">
        <v>277</v>
      </c>
      <c r="C128" s="412" t="s">
        <v>300</v>
      </c>
      <c r="D128" s="412" t="s">
        <v>309</v>
      </c>
      <c r="E128" s="412" t="s">
        <v>381</v>
      </c>
      <c r="F128" s="412" t="s">
        <v>254</v>
      </c>
      <c r="G128" s="20">
        <v>0</v>
      </c>
      <c r="H128" s="20">
        <v>6.23</v>
      </c>
    </row>
    <row r="129" spans="1:8" x14ac:dyDescent="0.25">
      <c r="A129" s="412" t="s">
        <v>259</v>
      </c>
      <c r="B129" s="412" t="s">
        <v>260</v>
      </c>
      <c r="C129" s="412" t="s">
        <v>300</v>
      </c>
      <c r="D129" s="412" t="s">
        <v>310</v>
      </c>
      <c r="E129" s="412" t="s">
        <v>381</v>
      </c>
      <c r="F129" s="412" t="s">
        <v>254</v>
      </c>
      <c r="G129" s="20">
        <v>18.7</v>
      </c>
      <c r="H129" s="20">
        <v>0</v>
      </c>
    </row>
    <row r="130" spans="1:8" x14ac:dyDescent="0.25">
      <c r="A130" s="412" t="s">
        <v>257</v>
      </c>
      <c r="B130" s="412" t="s">
        <v>277</v>
      </c>
      <c r="C130" s="412" t="s">
        <v>300</v>
      </c>
      <c r="D130" s="412" t="s">
        <v>311</v>
      </c>
      <c r="E130" s="412" t="s">
        <v>380</v>
      </c>
      <c r="F130" s="412" t="s">
        <v>254</v>
      </c>
      <c r="G130" s="20">
        <v>0</v>
      </c>
      <c r="H130" s="20">
        <v>3.38</v>
      </c>
    </row>
    <row r="131" spans="1:8" x14ac:dyDescent="0.25">
      <c r="A131" s="412" t="s">
        <v>257</v>
      </c>
      <c r="B131" s="412" t="s">
        <v>277</v>
      </c>
      <c r="C131" s="412" t="s">
        <v>300</v>
      </c>
      <c r="D131" s="412" t="s">
        <v>309</v>
      </c>
      <c r="E131" s="412" t="s">
        <v>380</v>
      </c>
      <c r="F131" s="412" t="s">
        <v>254</v>
      </c>
      <c r="G131" s="20">
        <v>0</v>
      </c>
      <c r="H131" s="20">
        <v>1.69</v>
      </c>
    </row>
    <row r="132" spans="1:8" x14ac:dyDescent="0.25">
      <c r="A132" s="412" t="s">
        <v>259</v>
      </c>
      <c r="B132" s="412" t="s">
        <v>260</v>
      </c>
      <c r="C132" s="412" t="s">
        <v>300</v>
      </c>
      <c r="D132" s="412" t="s">
        <v>311</v>
      </c>
      <c r="E132" s="412" t="s">
        <v>380</v>
      </c>
      <c r="F132" s="412" t="s">
        <v>254</v>
      </c>
      <c r="G132" s="20">
        <v>5.07</v>
      </c>
      <c r="H132" s="20">
        <v>0</v>
      </c>
    </row>
    <row r="133" spans="1:8" x14ac:dyDescent="0.25">
      <c r="A133" s="412" t="s">
        <v>263</v>
      </c>
      <c r="B133" s="412" t="s">
        <v>264</v>
      </c>
      <c r="C133" s="412" t="s">
        <v>300</v>
      </c>
      <c r="D133" s="412" t="s">
        <v>309</v>
      </c>
      <c r="E133" s="412" t="s">
        <v>379</v>
      </c>
      <c r="F133" s="412" t="s">
        <v>254</v>
      </c>
      <c r="G133" s="20">
        <v>38.299999999999997</v>
      </c>
      <c r="H133" s="20">
        <v>0</v>
      </c>
    </row>
    <row r="134" spans="1:8" x14ac:dyDescent="0.25">
      <c r="A134" s="412" t="s">
        <v>255</v>
      </c>
      <c r="B134" s="412" t="s">
        <v>256</v>
      </c>
      <c r="C134" s="412" t="s">
        <v>300</v>
      </c>
      <c r="D134" s="412" t="s">
        <v>309</v>
      </c>
      <c r="E134" s="412" t="s">
        <v>379</v>
      </c>
      <c r="F134" s="412" t="s">
        <v>254</v>
      </c>
      <c r="G134" s="20">
        <v>0</v>
      </c>
      <c r="H134" s="20">
        <v>38.299999999999997</v>
      </c>
    </row>
    <row r="135" spans="1:8" x14ac:dyDescent="0.25">
      <c r="A135" s="412" t="s">
        <v>255</v>
      </c>
      <c r="B135" s="412" t="s">
        <v>256</v>
      </c>
      <c r="C135" s="412" t="s">
        <v>300</v>
      </c>
      <c r="D135" s="412" t="s">
        <v>309</v>
      </c>
      <c r="E135" s="412" t="s">
        <v>378</v>
      </c>
      <c r="F135" s="412" t="s">
        <v>254</v>
      </c>
      <c r="G135" s="20">
        <v>140.9</v>
      </c>
      <c r="H135" s="20">
        <v>0</v>
      </c>
    </row>
    <row r="136" spans="1:8" ht="13.8" thickBot="1" x14ac:dyDescent="0.3">
      <c r="A136" s="411" t="s">
        <v>257</v>
      </c>
      <c r="B136" s="411" t="s">
        <v>277</v>
      </c>
      <c r="C136" s="411" t="s">
        <v>300</v>
      </c>
      <c r="D136" s="411" t="s">
        <v>311</v>
      </c>
      <c r="E136" s="411" t="s">
        <v>378</v>
      </c>
      <c r="F136" s="411" t="s">
        <v>254</v>
      </c>
      <c r="G136" s="410">
        <v>0</v>
      </c>
      <c r="H136" s="410">
        <v>140.9</v>
      </c>
    </row>
    <row r="138" spans="1:8" x14ac:dyDescent="0.25">
      <c r="A138" s="412" t="s">
        <v>257</v>
      </c>
      <c r="B138" s="412" t="s">
        <v>277</v>
      </c>
      <c r="C138" s="412" t="s">
        <v>300</v>
      </c>
      <c r="D138" s="412" t="s">
        <v>309</v>
      </c>
      <c r="E138" s="412" t="s">
        <v>377</v>
      </c>
      <c r="F138" s="412" t="s">
        <v>254</v>
      </c>
      <c r="G138" s="20">
        <v>75.150000000000006</v>
      </c>
      <c r="H138" s="20">
        <v>0</v>
      </c>
    </row>
    <row r="139" spans="1:8" x14ac:dyDescent="0.25">
      <c r="A139" s="412" t="s">
        <v>257</v>
      </c>
      <c r="B139" s="412" t="s">
        <v>277</v>
      </c>
      <c r="C139" s="412" t="s">
        <v>300</v>
      </c>
      <c r="D139" s="412" t="s">
        <v>310</v>
      </c>
      <c r="E139" s="412" t="s">
        <v>377</v>
      </c>
      <c r="F139" s="412" t="s">
        <v>254</v>
      </c>
      <c r="G139" s="20">
        <v>0</v>
      </c>
      <c r="H139" s="20">
        <v>75.150000000000006</v>
      </c>
    </row>
    <row r="140" spans="1:8" x14ac:dyDescent="0.25">
      <c r="A140" s="412" t="s">
        <v>257</v>
      </c>
      <c r="B140" s="412" t="s">
        <v>277</v>
      </c>
      <c r="C140" s="412" t="s">
        <v>300</v>
      </c>
      <c r="D140" s="412" t="s">
        <v>309</v>
      </c>
      <c r="E140" s="412" t="s">
        <v>376</v>
      </c>
      <c r="F140" s="412" t="s">
        <v>254</v>
      </c>
      <c r="G140" s="20">
        <v>31.31</v>
      </c>
      <c r="H140" s="20">
        <v>0</v>
      </c>
    </row>
    <row r="141" spans="1:8" ht="13.8" thickBot="1" x14ac:dyDescent="0.3">
      <c r="A141" s="411" t="s">
        <v>257</v>
      </c>
      <c r="B141" s="411" t="s">
        <v>277</v>
      </c>
      <c r="C141" s="411" t="s">
        <v>300</v>
      </c>
      <c r="D141" s="411" t="s">
        <v>311</v>
      </c>
      <c r="E141" s="411" t="s">
        <v>376</v>
      </c>
      <c r="F141" s="411" t="s">
        <v>254</v>
      </c>
      <c r="G141" s="410">
        <v>0</v>
      </c>
      <c r="H141" s="410">
        <v>31.31</v>
      </c>
    </row>
    <row r="143" spans="1:8" x14ac:dyDescent="0.25">
      <c r="A143" s="412" t="s">
        <v>261</v>
      </c>
      <c r="B143" s="412" t="s">
        <v>262</v>
      </c>
      <c r="C143" s="412" t="s">
        <v>300</v>
      </c>
      <c r="D143" s="412" t="s">
        <v>309</v>
      </c>
      <c r="E143" s="412" t="s">
        <v>375</v>
      </c>
      <c r="F143" s="412" t="s">
        <v>254</v>
      </c>
      <c r="G143" s="20">
        <v>241.15</v>
      </c>
      <c r="H143" s="20">
        <v>0</v>
      </c>
    </row>
    <row r="144" spans="1:8" ht="13.8" thickBot="1" x14ac:dyDescent="0.3">
      <c r="A144" s="411" t="s">
        <v>255</v>
      </c>
      <c r="B144" s="411" t="s">
        <v>256</v>
      </c>
      <c r="C144" s="411" t="s">
        <v>300</v>
      </c>
      <c r="D144" s="411" t="s">
        <v>309</v>
      </c>
      <c r="E144" s="411" t="s">
        <v>375</v>
      </c>
      <c r="F144" s="411" t="s">
        <v>254</v>
      </c>
      <c r="G144" s="410">
        <v>0</v>
      </c>
      <c r="H144" s="410">
        <v>241.15</v>
      </c>
    </row>
    <row r="146" spans="1:8" x14ac:dyDescent="0.25">
      <c r="A146" s="412" t="s">
        <v>301</v>
      </c>
      <c r="B146" s="412" t="s">
        <v>302</v>
      </c>
      <c r="C146" s="412" t="s">
        <v>300</v>
      </c>
      <c r="D146" s="412" t="s">
        <v>309</v>
      </c>
      <c r="E146" s="412" t="s">
        <v>374</v>
      </c>
      <c r="F146" s="412" t="s">
        <v>254</v>
      </c>
      <c r="G146" s="20">
        <v>229.17</v>
      </c>
      <c r="H146" s="20">
        <v>0</v>
      </c>
    </row>
    <row r="147" spans="1:8" ht="13.8" thickBot="1" x14ac:dyDescent="0.3">
      <c r="A147" s="411" t="s">
        <v>259</v>
      </c>
      <c r="B147" s="411" t="s">
        <v>260</v>
      </c>
      <c r="C147" s="411" t="s">
        <v>300</v>
      </c>
      <c r="D147" s="411" t="s">
        <v>309</v>
      </c>
      <c r="E147" s="411" t="s">
        <v>374</v>
      </c>
      <c r="F147" s="411" t="s">
        <v>254</v>
      </c>
      <c r="G147" s="410">
        <v>0</v>
      </c>
      <c r="H147" s="410">
        <v>229.17</v>
      </c>
    </row>
    <row r="149" spans="1:8" x14ac:dyDescent="0.25">
      <c r="A149" s="412" t="s">
        <v>255</v>
      </c>
      <c r="B149" s="412" t="s">
        <v>256</v>
      </c>
      <c r="C149" s="412" t="s">
        <v>300</v>
      </c>
      <c r="D149" s="412" t="s">
        <v>309</v>
      </c>
      <c r="E149" s="412" t="s">
        <v>373</v>
      </c>
      <c r="F149" s="412" t="s">
        <v>254</v>
      </c>
      <c r="G149" s="20">
        <v>241.15</v>
      </c>
      <c r="H149" s="20">
        <v>0</v>
      </c>
    </row>
    <row r="150" spans="1:8" ht="13.8" thickBot="1" x14ac:dyDescent="0.3">
      <c r="A150" s="411" t="s">
        <v>259</v>
      </c>
      <c r="B150" s="411" t="s">
        <v>260</v>
      </c>
      <c r="C150" s="411" t="s">
        <v>300</v>
      </c>
      <c r="D150" s="411" t="s">
        <v>309</v>
      </c>
      <c r="E150" s="411" t="s">
        <v>373</v>
      </c>
      <c r="F150" s="411" t="s">
        <v>254</v>
      </c>
      <c r="G150" s="410">
        <v>0</v>
      </c>
      <c r="H150" s="410">
        <v>241.15</v>
      </c>
    </row>
    <row r="152" spans="1:8" x14ac:dyDescent="0.25">
      <c r="A152" s="412" t="s">
        <v>255</v>
      </c>
      <c r="B152" s="412" t="s">
        <v>256</v>
      </c>
      <c r="C152" s="412" t="s">
        <v>300</v>
      </c>
      <c r="D152" s="412" t="s">
        <v>309</v>
      </c>
      <c r="E152" s="412" t="s">
        <v>372</v>
      </c>
      <c r="F152" s="412" t="s">
        <v>254</v>
      </c>
      <c r="G152" s="20">
        <v>0</v>
      </c>
      <c r="H152" s="20">
        <v>300.2</v>
      </c>
    </row>
    <row r="153" spans="1:8" ht="13.8" thickBot="1" x14ac:dyDescent="0.3">
      <c r="A153" s="411" t="s">
        <v>257</v>
      </c>
      <c r="B153" s="411" t="s">
        <v>277</v>
      </c>
      <c r="C153" s="411" t="s">
        <v>300</v>
      </c>
      <c r="D153" s="411" t="s">
        <v>311</v>
      </c>
      <c r="E153" s="411" t="s">
        <v>372</v>
      </c>
      <c r="F153" s="411" t="s">
        <v>254</v>
      </c>
      <c r="G153" s="410">
        <v>300.2</v>
      </c>
      <c r="H153" s="410">
        <v>0</v>
      </c>
    </row>
    <row r="155" spans="1:8" x14ac:dyDescent="0.25">
      <c r="A155" s="412" t="s">
        <v>259</v>
      </c>
      <c r="B155" s="412" t="s">
        <v>260</v>
      </c>
      <c r="C155" s="412" t="s">
        <v>300</v>
      </c>
      <c r="D155" s="412" t="s">
        <v>309</v>
      </c>
      <c r="E155" s="412" t="s">
        <v>371</v>
      </c>
      <c r="F155" s="412" t="s">
        <v>254</v>
      </c>
      <c r="G155" s="20">
        <v>136.07</v>
      </c>
      <c r="H155" s="20">
        <v>0</v>
      </c>
    </row>
    <row r="156" spans="1:8" ht="13.8" thickBot="1" x14ac:dyDescent="0.3">
      <c r="A156" s="411" t="s">
        <v>257</v>
      </c>
      <c r="B156" s="411" t="s">
        <v>277</v>
      </c>
      <c r="C156" s="411" t="s">
        <v>300</v>
      </c>
      <c r="D156" s="411" t="s">
        <v>311</v>
      </c>
      <c r="E156" s="411" t="s">
        <v>371</v>
      </c>
      <c r="F156" s="411" t="s">
        <v>254</v>
      </c>
      <c r="G156" s="410">
        <v>0</v>
      </c>
      <c r="H156" s="410">
        <v>136.07</v>
      </c>
    </row>
    <row r="158" spans="1:8" x14ac:dyDescent="0.25">
      <c r="A158" s="412" t="s">
        <v>257</v>
      </c>
      <c r="B158" s="412" t="s">
        <v>277</v>
      </c>
      <c r="C158" s="412" t="s">
        <v>300</v>
      </c>
      <c r="D158" s="412" t="s">
        <v>309</v>
      </c>
      <c r="E158" s="412" t="s">
        <v>370</v>
      </c>
      <c r="F158" s="412" t="s">
        <v>254</v>
      </c>
      <c r="G158" s="20">
        <v>53.1</v>
      </c>
      <c r="H158" s="20">
        <v>0</v>
      </c>
    </row>
    <row r="159" spans="1:8" x14ac:dyDescent="0.25">
      <c r="A159" s="412" t="s">
        <v>257</v>
      </c>
      <c r="B159" s="412" t="s">
        <v>277</v>
      </c>
      <c r="C159" s="412" t="s">
        <v>300</v>
      </c>
      <c r="D159" s="412" t="s">
        <v>311</v>
      </c>
      <c r="E159" s="412" t="s">
        <v>370</v>
      </c>
      <c r="F159" s="412" t="s">
        <v>254</v>
      </c>
      <c r="G159" s="20">
        <v>0</v>
      </c>
      <c r="H159" s="20">
        <v>53.1</v>
      </c>
    </row>
    <row r="160" spans="1:8" x14ac:dyDescent="0.25">
      <c r="A160" s="412" t="s">
        <v>257</v>
      </c>
      <c r="B160" s="412" t="s">
        <v>277</v>
      </c>
      <c r="C160" s="412" t="s">
        <v>300</v>
      </c>
      <c r="D160" s="412" t="s">
        <v>309</v>
      </c>
      <c r="E160" s="412" t="s">
        <v>369</v>
      </c>
      <c r="F160" s="412" t="s">
        <v>254</v>
      </c>
      <c r="G160" s="20">
        <v>46.97</v>
      </c>
      <c r="H160" s="20">
        <v>0</v>
      </c>
    </row>
    <row r="161" spans="1:8" ht="13.8" thickBot="1" x14ac:dyDescent="0.3">
      <c r="A161" s="411" t="s">
        <v>257</v>
      </c>
      <c r="B161" s="411" t="s">
        <v>277</v>
      </c>
      <c r="C161" s="411" t="s">
        <v>300</v>
      </c>
      <c r="D161" s="411" t="s">
        <v>311</v>
      </c>
      <c r="E161" s="411" t="s">
        <v>369</v>
      </c>
      <c r="F161" s="411" t="s">
        <v>254</v>
      </c>
      <c r="G161" s="410">
        <v>0</v>
      </c>
      <c r="H161" s="410">
        <v>46.97</v>
      </c>
    </row>
    <row r="164" spans="1:8" x14ac:dyDescent="0.25">
      <c r="A164" s="412" t="s">
        <v>255</v>
      </c>
      <c r="B164" s="412" t="s">
        <v>256</v>
      </c>
      <c r="C164" s="412" t="s">
        <v>300</v>
      </c>
      <c r="D164" s="412" t="s">
        <v>309</v>
      </c>
      <c r="E164" s="412" t="s">
        <v>389</v>
      </c>
      <c r="F164" s="412" t="s">
        <v>254</v>
      </c>
      <c r="G164" s="20">
        <v>153.19999999999999</v>
      </c>
      <c r="H164" s="20">
        <v>0</v>
      </c>
    </row>
    <row r="165" spans="1:8" x14ac:dyDescent="0.25">
      <c r="A165" s="412" t="s">
        <v>261</v>
      </c>
      <c r="B165" s="412" t="s">
        <v>262</v>
      </c>
      <c r="C165" s="412" t="s">
        <v>300</v>
      </c>
      <c r="D165" s="412" t="s">
        <v>309</v>
      </c>
      <c r="E165" s="412" t="s">
        <v>389</v>
      </c>
      <c r="F165" s="412" t="s">
        <v>254</v>
      </c>
      <c r="G165" s="20">
        <v>0</v>
      </c>
      <c r="H165" s="20">
        <v>153.4</v>
      </c>
    </row>
    <row r="166" spans="1:8" x14ac:dyDescent="0.25">
      <c r="A166" s="412" t="s">
        <v>259</v>
      </c>
      <c r="B166" s="412" t="s">
        <v>260</v>
      </c>
      <c r="C166" s="412" t="s">
        <v>300</v>
      </c>
      <c r="D166" s="412" t="s">
        <v>309</v>
      </c>
      <c r="E166" s="412" t="s">
        <v>388</v>
      </c>
      <c r="F166" s="412" t="s">
        <v>254</v>
      </c>
      <c r="G166" s="20">
        <v>241.16</v>
      </c>
      <c r="H166" s="20">
        <v>0</v>
      </c>
    </row>
    <row r="167" spans="1:8" x14ac:dyDescent="0.25">
      <c r="A167" s="412" t="s">
        <v>255</v>
      </c>
      <c r="B167" s="412" t="s">
        <v>256</v>
      </c>
      <c r="C167" s="412" t="s">
        <v>300</v>
      </c>
      <c r="D167" s="412" t="s">
        <v>309</v>
      </c>
      <c r="E167" s="412" t="s">
        <v>388</v>
      </c>
      <c r="F167" s="412" t="s">
        <v>254</v>
      </c>
      <c r="G167" s="20">
        <v>0</v>
      </c>
      <c r="H167" s="20">
        <v>241.16</v>
      </c>
    </row>
    <row r="168" spans="1:8" x14ac:dyDescent="0.25">
      <c r="A168" s="412" t="s">
        <v>263</v>
      </c>
      <c r="B168" s="412" t="s">
        <v>264</v>
      </c>
      <c r="C168" s="412" t="s">
        <v>300</v>
      </c>
      <c r="D168" s="412" t="s">
        <v>309</v>
      </c>
      <c r="E168" s="412" t="s">
        <v>382</v>
      </c>
      <c r="F168" s="412" t="s">
        <v>254</v>
      </c>
      <c r="G168" s="20">
        <v>0</v>
      </c>
      <c r="H168" s="20">
        <v>38.299999999999997</v>
      </c>
    </row>
    <row r="169" spans="1:8" ht="13.8" thickBot="1" x14ac:dyDescent="0.3">
      <c r="A169" s="411" t="s">
        <v>255</v>
      </c>
      <c r="B169" s="411" t="s">
        <v>256</v>
      </c>
      <c r="C169" s="411" t="s">
        <v>300</v>
      </c>
      <c r="D169" s="411" t="s">
        <v>309</v>
      </c>
      <c r="E169" s="411" t="s">
        <v>382</v>
      </c>
      <c r="F169" s="411" t="s">
        <v>254</v>
      </c>
      <c r="G169" s="410">
        <v>38.299999999999997</v>
      </c>
      <c r="H169" s="410">
        <v>0</v>
      </c>
    </row>
    <row r="171" spans="1:8" x14ac:dyDescent="0.25">
      <c r="A171" s="412" t="s">
        <v>259</v>
      </c>
      <c r="B171" s="412" t="s">
        <v>260</v>
      </c>
      <c r="C171" s="412" t="s">
        <v>300</v>
      </c>
      <c r="D171" s="412" t="s">
        <v>309</v>
      </c>
      <c r="E171" s="412" t="s">
        <v>387</v>
      </c>
      <c r="F171" s="412" t="s">
        <v>254</v>
      </c>
      <c r="G171" s="20">
        <v>0</v>
      </c>
      <c r="H171" s="20">
        <v>229.17</v>
      </c>
    </row>
    <row r="172" spans="1:8" ht="13.8" thickBot="1" x14ac:dyDescent="0.3">
      <c r="A172" s="411" t="s">
        <v>301</v>
      </c>
      <c r="B172" s="411" t="s">
        <v>302</v>
      </c>
      <c r="C172" s="411" t="s">
        <v>300</v>
      </c>
      <c r="D172" s="411" t="s">
        <v>309</v>
      </c>
      <c r="E172" s="411" t="s">
        <v>387</v>
      </c>
      <c r="F172" s="411" t="s">
        <v>254</v>
      </c>
      <c r="G172" s="410">
        <v>229.17</v>
      </c>
      <c r="H172" s="410">
        <v>0</v>
      </c>
    </row>
    <row r="174" spans="1:8" x14ac:dyDescent="0.25">
      <c r="A174" s="412" t="s">
        <v>257</v>
      </c>
      <c r="B174" s="412" t="s">
        <v>258</v>
      </c>
      <c r="C174" s="412" t="s">
        <v>300</v>
      </c>
      <c r="D174" s="412" t="s">
        <v>310</v>
      </c>
      <c r="E174" s="412" t="s">
        <v>387</v>
      </c>
      <c r="F174" s="412" t="s">
        <v>254</v>
      </c>
      <c r="G174" s="20">
        <v>0</v>
      </c>
      <c r="H174" s="20">
        <v>2.13</v>
      </c>
    </row>
    <row r="175" spans="1:8" x14ac:dyDescent="0.25">
      <c r="A175" s="412" t="s">
        <v>257</v>
      </c>
      <c r="B175" s="412" t="s">
        <v>277</v>
      </c>
      <c r="C175" s="412" t="s">
        <v>300</v>
      </c>
      <c r="D175" s="412" t="s">
        <v>309</v>
      </c>
      <c r="E175" s="412" t="s">
        <v>387</v>
      </c>
      <c r="F175" s="412" t="s">
        <v>254</v>
      </c>
      <c r="G175" s="20">
        <v>0</v>
      </c>
      <c r="H175" s="20">
        <v>1.06</v>
      </c>
    </row>
    <row r="176" spans="1:8" x14ac:dyDescent="0.25">
      <c r="A176" s="412" t="s">
        <v>259</v>
      </c>
      <c r="B176" s="412" t="s">
        <v>260</v>
      </c>
      <c r="C176" s="412" t="s">
        <v>300</v>
      </c>
      <c r="D176" s="412" t="s">
        <v>310</v>
      </c>
      <c r="E176" s="412" t="s">
        <v>387</v>
      </c>
      <c r="F176" s="412" t="s">
        <v>254</v>
      </c>
      <c r="G176" s="20">
        <v>3.19</v>
      </c>
      <c r="H176" s="20">
        <v>0</v>
      </c>
    </row>
    <row r="177" spans="1:8" x14ac:dyDescent="0.25">
      <c r="A177" s="412" t="s">
        <v>257</v>
      </c>
      <c r="B177" s="412" t="s">
        <v>277</v>
      </c>
      <c r="C177" s="412" t="s">
        <v>300</v>
      </c>
      <c r="D177" s="412" t="s">
        <v>311</v>
      </c>
      <c r="E177" s="412" t="s">
        <v>386</v>
      </c>
      <c r="F177" s="412" t="s">
        <v>254</v>
      </c>
      <c r="G177" s="20">
        <v>81.81</v>
      </c>
      <c r="H177" s="20">
        <v>0</v>
      </c>
    </row>
    <row r="178" spans="1:8" x14ac:dyDescent="0.25">
      <c r="A178" s="412" t="s">
        <v>257</v>
      </c>
      <c r="B178" s="412" t="s">
        <v>277</v>
      </c>
      <c r="C178" s="412" t="s">
        <v>300</v>
      </c>
      <c r="D178" s="412" t="s">
        <v>309</v>
      </c>
      <c r="E178" s="412" t="s">
        <v>386</v>
      </c>
      <c r="F178" s="412" t="s">
        <v>254</v>
      </c>
      <c r="G178" s="20">
        <v>40.909999999999997</v>
      </c>
      <c r="H178" s="20">
        <v>0</v>
      </c>
    </row>
    <row r="179" spans="1:8" ht="13.8" thickBot="1" x14ac:dyDescent="0.3">
      <c r="A179" s="411" t="s">
        <v>259</v>
      </c>
      <c r="B179" s="411" t="s">
        <v>260</v>
      </c>
      <c r="C179" s="411" t="s">
        <v>300</v>
      </c>
      <c r="D179" s="411" t="s">
        <v>311</v>
      </c>
      <c r="E179" s="411" t="s">
        <v>386</v>
      </c>
      <c r="F179" s="411" t="s">
        <v>254</v>
      </c>
      <c r="G179" s="410">
        <v>0</v>
      </c>
      <c r="H179" s="410">
        <v>122.72</v>
      </c>
    </row>
    <row r="180" spans="1:8" x14ac:dyDescent="0.25">
      <c r="A180" s="412" t="s">
        <v>261</v>
      </c>
      <c r="B180" s="412" t="s">
        <v>262</v>
      </c>
      <c r="C180" s="412" t="s">
        <v>300</v>
      </c>
      <c r="D180" s="412" t="s">
        <v>309</v>
      </c>
      <c r="E180" s="412" t="s">
        <v>385</v>
      </c>
      <c r="F180" s="412" t="s">
        <v>254</v>
      </c>
      <c r="G180" s="20">
        <v>202.85</v>
      </c>
      <c r="H180" s="20">
        <v>0</v>
      </c>
    </row>
    <row r="181" spans="1:8" ht="13.8" thickBot="1" x14ac:dyDescent="0.3">
      <c r="A181" s="411" t="s">
        <v>259</v>
      </c>
      <c r="B181" s="411" t="s">
        <v>260</v>
      </c>
      <c r="C181" s="411" t="s">
        <v>300</v>
      </c>
      <c r="D181" s="411" t="s">
        <v>309</v>
      </c>
      <c r="E181" s="411" t="s">
        <v>385</v>
      </c>
      <c r="F181" s="411" t="s">
        <v>254</v>
      </c>
      <c r="G181" s="410">
        <v>0</v>
      </c>
      <c r="H181" s="410">
        <v>202.85</v>
      </c>
    </row>
    <row r="183" spans="1:8" x14ac:dyDescent="0.25">
      <c r="A183" s="412" t="s">
        <v>257</v>
      </c>
      <c r="B183" s="412" t="s">
        <v>277</v>
      </c>
      <c r="C183" s="412" t="s">
        <v>300</v>
      </c>
      <c r="D183" s="412" t="s">
        <v>309</v>
      </c>
      <c r="E183" s="412" t="s">
        <v>384</v>
      </c>
      <c r="F183" s="412" t="s">
        <v>254</v>
      </c>
      <c r="G183" s="20">
        <v>76.81</v>
      </c>
      <c r="H183" s="20">
        <v>0</v>
      </c>
    </row>
    <row r="184" spans="1:8" x14ac:dyDescent="0.25">
      <c r="A184" s="412" t="s">
        <v>257</v>
      </c>
      <c r="B184" s="412" t="s">
        <v>277</v>
      </c>
      <c r="C184" s="412" t="s">
        <v>300</v>
      </c>
      <c r="D184" s="412" t="s">
        <v>310</v>
      </c>
      <c r="E184" s="412" t="s">
        <v>384</v>
      </c>
      <c r="F184" s="412" t="s">
        <v>254</v>
      </c>
      <c r="G184" s="20">
        <v>0</v>
      </c>
      <c r="H184" s="20">
        <v>76.81</v>
      </c>
    </row>
    <row r="185" spans="1:8" x14ac:dyDescent="0.25">
      <c r="A185" s="412" t="s">
        <v>257</v>
      </c>
      <c r="B185" s="412" t="s">
        <v>277</v>
      </c>
      <c r="C185" s="412" t="s">
        <v>300</v>
      </c>
      <c r="D185" s="412" t="s">
        <v>309</v>
      </c>
      <c r="E185" s="412" t="s">
        <v>383</v>
      </c>
      <c r="F185" s="412" t="s">
        <v>254</v>
      </c>
      <c r="G185" s="20">
        <v>79.709999999999994</v>
      </c>
      <c r="H185" s="20">
        <v>0</v>
      </c>
    </row>
    <row r="186" spans="1:8" ht="13.8" thickBot="1" x14ac:dyDescent="0.3">
      <c r="A186" s="411" t="s">
        <v>257</v>
      </c>
      <c r="B186" s="411" t="s">
        <v>277</v>
      </c>
      <c r="C186" s="411" t="s">
        <v>300</v>
      </c>
      <c r="D186" s="411" t="s">
        <v>311</v>
      </c>
      <c r="E186" s="411" t="s">
        <v>383</v>
      </c>
      <c r="F186" s="411" t="s">
        <v>254</v>
      </c>
      <c r="G186" s="410">
        <v>0</v>
      </c>
      <c r="H186" s="410">
        <v>79.709999999999994</v>
      </c>
    </row>
    <row r="188" spans="1:8" x14ac:dyDescent="0.25">
      <c r="A188" s="412" t="s">
        <v>255</v>
      </c>
      <c r="B188" s="412" t="s">
        <v>256</v>
      </c>
      <c r="C188" s="412" t="s">
        <v>300</v>
      </c>
      <c r="D188" s="412" t="s">
        <v>309</v>
      </c>
      <c r="E188" s="412" t="s">
        <v>382</v>
      </c>
      <c r="F188" s="412" t="s">
        <v>254</v>
      </c>
      <c r="G188" s="20">
        <v>0</v>
      </c>
      <c r="H188" s="20">
        <v>34.47</v>
      </c>
    </row>
    <row r="189" spans="1:8" ht="13.8" thickBot="1" x14ac:dyDescent="0.3">
      <c r="A189" s="411" t="s">
        <v>263</v>
      </c>
      <c r="B189" s="411" t="s">
        <v>264</v>
      </c>
      <c r="C189" s="411" t="s">
        <v>300</v>
      </c>
      <c r="D189" s="411" t="s">
        <v>309</v>
      </c>
      <c r="E189" s="411" t="s">
        <v>382</v>
      </c>
      <c r="F189" s="411" t="s">
        <v>254</v>
      </c>
      <c r="G189" s="410">
        <v>34.47</v>
      </c>
      <c r="H189" s="410">
        <v>0</v>
      </c>
    </row>
    <row r="192" spans="1:8" x14ac:dyDescent="0.25">
      <c r="A192" s="412" t="s">
        <v>255</v>
      </c>
      <c r="B192" s="412" t="s">
        <v>256</v>
      </c>
      <c r="C192" s="412" t="s">
        <v>300</v>
      </c>
      <c r="D192" s="412" t="s">
        <v>309</v>
      </c>
      <c r="E192" s="412" t="s">
        <v>390</v>
      </c>
      <c r="F192" s="412" t="s">
        <v>254</v>
      </c>
      <c r="G192" s="20">
        <v>0</v>
      </c>
      <c r="H192" s="20">
        <v>34.369999999999997</v>
      </c>
    </row>
    <row r="193" spans="1:8" ht="13.8" thickBot="1" x14ac:dyDescent="0.3">
      <c r="A193" s="411" t="s">
        <v>263</v>
      </c>
      <c r="B193" s="411" t="s">
        <v>264</v>
      </c>
      <c r="C193" s="411" t="s">
        <v>300</v>
      </c>
      <c r="D193" s="411" t="s">
        <v>309</v>
      </c>
      <c r="E193" s="411" t="s">
        <v>390</v>
      </c>
      <c r="F193" s="411" t="s">
        <v>254</v>
      </c>
      <c r="G193" s="410">
        <v>34.369999999999997</v>
      </c>
      <c r="H193" s="410">
        <v>0</v>
      </c>
    </row>
    <row r="195" spans="1:8" x14ac:dyDescent="0.25">
      <c r="A195" s="412" t="s">
        <v>257</v>
      </c>
      <c r="B195" s="412" t="s">
        <v>258</v>
      </c>
      <c r="C195" s="412" t="s">
        <v>300</v>
      </c>
      <c r="D195" s="412" t="s">
        <v>310</v>
      </c>
      <c r="E195" s="412" t="s">
        <v>391</v>
      </c>
      <c r="F195" s="412" t="s">
        <v>254</v>
      </c>
      <c r="G195" s="20">
        <v>158.74</v>
      </c>
      <c r="H195" s="20">
        <v>0</v>
      </c>
    </row>
    <row r="196" spans="1:8" x14ac:dyDescent="0.25">
      <c r="A196" s="412" t="s">
        <v>257</v>
      </c>
      <c r="B196" s="412" t="s">
        <v>277</v>
      </c>
      <c r="C196" s="412" t="s">
        <v>300</v>
      </c>
      <c r="D196" s="412" t="s">
        <v>309</v>
      </c>
      <c r="E196" s="412" t="s">
        <v>391</v>
      </c>
      <c r="F196" s="412" t="s">
        <v>254</v>
      </c>
      <c r="G196" s="20">
        <v>79.37</v>
      </c>
      <c r="H196" s="20">
        <v>0</v>
      </c>
    </row>
    <row r="197" spans="1:8" x14ac:dyDescent="0.25">
      <c r="A197" s="412" t="s">
        <v>259</v>
      </c>
      <c r="B197" s="412" t="s">
        <v>260</v>
      </c>
      <c r="C197" s="412" t="s">
        <v>300</v>
      </c>
      <c r="D197" s="412" t="s">
        <v>310</v>
      </c>
      <c r="E197" s="412" t="s">
        <v>391</v>
      </c>
      <c r="F197" s="412" t="s">
        <v>254</v>
      </c>
      <c r="G197" s="20">
        <v>0</v>
      </c>
      <c r="H197" s="20">
        <v>238.11</v>
      </c>
    </row>
    <row r="198" spans="1:8" x14ac:dyDescent="0.25">
      <c r="A198" s="412" t="s">
        <v>257</v>
      </c>
      <c r="B198" s="412" t="s">
        <v>277</v>
      </c>
      <c r="C198" s="412" t="s">
        <v>300</v>
      </c>
      <c r="D198" s="412" t="s">
        <v>311</v>
      </c>
      <c r="E198" s="412" t="s">
        <v>392</v>
      </c>
      <c r="F198" s="412" t="s">
        <v>254</v>
      </c>
      <c r="G198" s="20">
        <v>164.74</v>
      </c>
      <c r="H198" s="20">
        <v>0</v>
      </c>
    </row>
    <row r="199" spans="1:8" x14ac:dyDescent="0.25">
      <c r="A199" s="412" t="s">
        <v>257</v>
      </c>
      <c r="B199" s="412" t="s">
        <v>277</v>
      </c>
      <c r="C199" s="412" t="s">
        <v>300</v>
      </c>
      <c r="D199" s="412" t="s">
        <v>309</v>
      </c>
      <c r="E199" s="412" t="s">
        <v>392</v>
      </c>
      <c r="F199" s="412" t="s">
        <v>254</v>
      </c>
      <c r="G199" s="20">
        <v>82.37</v>
      </c>
      <c r="H199" s="20">
        <v>0</v>
      </c>
    </row>
    <row r="200" spans="1:8" x14ac:dyDescent="0.25">
      <c r="A200" s="412" t="s">
        <v>259</v>
      </c>
      <c r="B200" s="412" t="s">
        <v>260</v>
      </c>
      <c r="C200" s="412" t="s">
        <v>300</v>
      </c>
      <c r="D200" s="412" t="s">
        <v>311</v>
      </c>
      <c r="E200" s="412" t="s">
        <v>392</v>
      </c>
      <c r="F200" s="412" t="s">
        <v>254</v>
      </c>
      <c r="G200" s="20">
        <v>0</v>
      </c>
      <c r="H200" s="20">
        <v>247.11</v>
      </c>
    </row>
    <row r="201" spans="1:8" x14ac:dyDescent="0.25">
      <c r="A201" s="412" t="s">
        <v>261</v>
      </c>
      <c r="B201" s="412" t="s">
        <v>262</v>
      </c>
      <c r="C201" s="412" t="s">
        <v>300</v>
      </c>
      <c r="D201" s="412" t="s">
        <v>309</v>
      </c>
      <c r="E201" s="412" t="s">
        <v>393</v>
      </c>
      <c r="F201" s="412" t="s">
        <v>254</v>
      </c>
      <c r="G201" s="20">
        <v>202.85</v>
      </c>
      <c r="H201" s="20">
        <v>0</v>
      </c>
    </row>
    <row r="202" spans="1:8" x14ac:dyDescent="0.25">
      <c r="A202" s="412" t="s">
        <v>259</v>
      </c>
      <c r="B202" s="412" t="s">
        <v>260</v>
      </c>
      <c r="C202" s="412" t="s">
        <v>300</v>
      </c>
      <c r="D202" s="412" t="s">
        <v>309</v>
      </c>
      <c r="E202" s="412" t="s">
        <v>393</v>
      </c>
      <c r="F202" s="412" t="s">
        <v>254</v>
      </c>
      <c r="G202" s="20">
        <v>0</v>
      </c>
      <c r="H202" s="20">
        <v>202.85</v>
      </c>
    </row>
    <row r="203" spans="1:8" x14ac:dyDescent="0.25">
      <c r="A203" s="412" t="s">
        <v>301</v>
      </c>
      <c r="B203" s="412" t="s">
        <v>302</v>
      </c>
      <c r="C203" s="412" t="s">
        <v>300</v>
      </c>
      <c r="D203" s="412" t="s">
        <v>309</v>
      </c>
      <c r="E203" s="412" t="s">
        <v>394</v>
      </c>
      <c r="F203" s="412" t="s">
        <v>254</v>
      </c>
      <c r="G203" s="20">
        <v>229.17</v>
      </c>
      <c r="H203" s="20">
        <v>0</v>
      </c>
    </row>
    <row r="204" spans="1:8" ht="13.8" thickBot="1" x14ac:dyDescent="0.3">
      <c r="A204" s="411" t="s">
        <v>259</v>
      </c>
      <c r="B204" s="411" t="s">
        <v>260</v>
      </c>
      <c r="C204" s="411" t="s">
        <v>300</v>
      </c>
      <c r="D204" s="411" t="s">
        <v>309</v>
      </c>
      <c r="E204" s="411" t="s">
        <v>394</v>
      </c>
      <c r="F204" s="411" t="s">
        <v>254</v>
      </c>
      <c r="G204" s="410">
        <v>0</v>
      </c>
      <c r="H204" s="410">
        <v>229.17</v>
      </c>
    </row>
    <row r="207" spans="1:8" x14ac:dyDescent="0.25">
      <c r="A207" s="412" t="s">
        <v>263</v>
      </c>
      <c r="B207" s="412" t="s">
        <v>264</v>
      </c>
      <c r="C207" s="412" t="s">
        <v>300</v>
      </c>
      <c r="D207" s="412" t="s">
        <v>309</v>
      </c>
      <c r="E207" s="412" t="s">
        <v>395</v>
      </c>
      <c r="F207" s="412" t="s">
        <v>254</v>
      </c>
      <c r="G207" s="20">
        <v>34.369999999999997</v>
      </c>
      <c r="H207" s="20">
        <v>0</v>
      </c>
    </row>
    <row r="208" spans="1:8" ht="13.8" thickBot="1" x14ac:dyDescent="0.3">
      <c r="A208" s="411" t="s">
        <v>255</v>
      </c>
      <c r="B208" s="411" t="s">
        <v>256</v>
      </c>
      <c r="C208" s="411" t="s">
        <v>300</v>
      </c>
      <c r="D208" s="411" t="s">
        <v>309</v>
      </c>
      <c r="E208" s="411" t="s">
        <v>395</v>
      </c>
      <c r="F208" s="411" t="s">
        <v>254</v>
      </c>
      <c r="G208" s="410">
        <v>0</v>
      </c>
      <c r="H208" s="410">
        <v>34.369999999999997</v>
      </c>
    </row>
    <row r="210" spans="1:8" x14ac:dyDescent="0.25">
      <c r="A210" s="412" t="s">
        <v>261</v>
      </c>
      <c r="B210" s="412" t="s">
        <v>262</v>
      </c>
      <c r="C210" s="412" t="s">
        <v>300</v>
      </c>
      <c r="D210" s="412" t="s">
        <v>309</v>
      </c>
      <c r="E210" s="412" t="s">
        <v>396</v>
      </c>
      <c r="F210" s="412" t="s">
        <v>254</v>
      </c>
      <c r="G210">
        <v>0</v>
      </c>
      <c r="H210" s="20">
        <v>405.7</v>
      </c>
    </row>
    <row r="211" spans="1:8" ht="13.8" thickBot="1" x14ac:dyDescent="0.3">
      <c r="A211" s="411" t="s">
        <v>259</v>
      </c>
      <c r="B211" s="411" t="s">
        <v>260</v>
      </c>
      <c r="C211" s="411" t="s">
        <v>300</v>
      </c>
      <c r="D211" s="411" t="s">
        <v>309</v>
      </c>
      <c r="E211" s="411" t="s">
        <v>396</v>
      </c>
      <c r="F211" s="411" t="s">
        <v>254</v>
      </c>
      <c r="G211" s="410">
        <v>405.7</v>
      </c>
      <c r="H211" s="410">
        <v>0</v>
      </c>
    </row>
    <row r="213" spans="1:8" x14ac:dyDescent="0.25">
      <c r="A213" s="412" t="s">
        <v>257</v>
      </c>
      <c r="B213" s="412" t="s">
        <v>258</v>
      </c>
      <c r="C213" s="412" t="s">
        <v>300</v>
      </c>
      <c r="D213" s="412" t="s">
        <v>310</v>
      </c>
      <c r="E213" s="412" t="s">
        <v>397</v>
      </c>
      <c r="F213" s="412" t="s">
        <v>254</v>
      </c>
      <c r="G213" s="20">
        <v>0</v>
      </c>
      <c r="H213" s="20">
        <v>154.02000000000001</v>
      </c>
    </row>
    <row r="214" spans="1:8" x14ac:dyDescent="0.25">
      <c r="A214" s="412" t="s">
        <v>257</v>
      </c>
      <c r="B214" s="412" t="s">
        <v>277</v>
      </c>
      <c r="C214" s="412" t="s">
        <v>300</v>
      </c>
      <c r="D214" s="412" t="s">
        <v>309</v>
      </c>
      <c r="E214" s="412" t="s">
        <v>398</v>
      </c>
      <c r="F214" s="412" t="s">
        <v>254</v>
      </c>
      <c r="G214" s="20">
        <v>0</v>
      </c>
      <c r="H214" s="20">
        <v>77.010000000000005</v>
      </c>
    </row>
    <row r="215" spans="1:8" x14ac:dyDescent="0.25">
      <c r="A215" s="412" t="s">
        <v>259</v>
      </c>
      <c r="B215" s="412" t="s">
        <v>260</v>
      </c>
      <c r="C215" s="412" t="s">
        <v>300</v>
      </c>
      <c r="D215" s="412" t="s">
        <v>310</v>
      </c>
      <c r="E215" s="412" t="s">
        <v>399</v>
      </c>
      <c r="F215" s="412" t="s">
        <v>254</v>
      </c>
      <c r="G215" s="20">
        <v>231.03</v>
      </c>
      <c r="H215" s="20">
        <v>0</v>
      </c>
    </row>
    <row r="216" spans="1:8" x14ac:dyDescent="0.25">
      <c r="A216" s="412" t="s">
        <v>257</v>
      </c>
      <c r="B216" s="412" t="s">
        <v>277</v>
      </c>
      <c r="C216" s="412" t="s">
        <v>300</v>
      </c>
      <c r="D216" s="412" t="s">
        <v>311</v>
      </c>
      <c r="E216" s="412" t="s">
        <v>399</v>
      </c>
      <c r="F216" s="412" t="s">
        <v>254</v>
      </c>
      <c r="G216" s="20">
        <v>0</v>
      </c>
      <c r="H216" s="20">
        <v>129.26</v>
      </c>
    </row>
    <row r="217" spans="1:8" x14ac:dyDescent="0.25">
      <c r="A217" s="412" t="s">
        <v>257</v>
      </c>
      <c r="B217" s="412" t="s">
        <v>277</v>
      </c>
      <c r="C217" s="412" t="s">
        <v>300</v>
      </c>
      <c r="D217" s="412" t="s">
        <v>309</v>
      </c>
      <c r="E217" s="412" t="s">
        <v>400</v>
      </c>
      <c r="F217" s="412" t="s">
        <v>254</v>
      </c>
      <c r="G217" s="20">
        <v>0</v>
      </c>
      <c r="H217" s="20">
        <v>64.63</v>
      </c>
    </row>
    <row r="218" spans="1:8" ht="13.8" thickBot="1" x14ac:dyDescent="0.3">
      <c r="A218" s="411" t="s">
        <v>259</v>
      </c>
      <c r="B218" s="411" t="s">
        <v>260</v>
      </c>
      <c r="C218" s="411" t="s">
        <v>300</v>
      </c>
      <c r="D218" s="411" t="s">
        <v>311</v>
      </c>
      <c r="E218" s="411" t="s">
        <v>400</v>
      </c>
      <c r="F218" s="411" t="s">
        <v>254</v>
      </c>
      <c r="G218" s="410">
        <v>193.89</v>
      </c>
      <c r="H218" s="410">
        <v>0</v>
      </c>
    </row>
    <row r="220" spans="1:8" x14ac:dyDescent="0.25">
      <c r="A220" s="412" t="s">
        <v>301</v>
      </c>
      <c r="B220" s="412" t="s">
        <v>302</v>
      </c>
      <c r="C220" s="412" t="s">
        <v>300</v>
      </c>
      <c r="D220" s="412" t="s">
        <v>309</v>
      </c>
      <c r="E220" s="412" t="s">
        <v>401</v>
      </c>
      <c r="F220" s="412" t="s">
        <v>254</v>
      </c>
      <c r="G220" s="20">
        <v>229.17</v>
      </c>
      <c r="H220" s="20">
        <v>0</v>
      </c>
    </row>
    <row r="221" spans="1:8" ht="13.8" thickBot="1" x14ac:dyDescent="0.3">
      <c r="A221" s="411" t="s">
        <v>259</v>
      </c>
      <c r="B221" s="411" t="s">
        <v>260</v>
      </c>
      <c r="C221" s="411" t="s">
        <v>300</v>
      </c>
      <c r="D221" s="411" t="s">
        <v>309</v>
      </c>
      <c r="E221" s="411" t="s">
        <v>401</v>
      </c>
      <c r="F221" s="411" t="s">
        <v>254</v>
      </c>
      <c r="G221" s="410">
        <v>0</v>
      </c>
      <c r="H221" s="410">
        <v>229.17</v>
      </c>
    </row>
    <row r="223" spans="1:8" x14ac:dyDescent="0.25">
      <c r="A223" s="412" t="s">
        <v>257</v>
      </c>
      <c r="B223" s="412" t="s">
        <v>277</v>
      </c>
      <c r="C223" s="412" t="s">
        <v>300</v>
      </c>
      <c r="D223" s="412" t="s">
        <v>309</v>
      </c>
      <c r="E223" s="412" t="s">
        <v>402</v>
      </c>
      <c r="F223" s="412" t="s">
        <v>254</v>
      </c>
      <c r="G223" s="20">
        <v>78.37</v>
      </c>
      <c r="H223" s="20">
        <v>0</v>
      </c>
    </row>
    <row r="224" spans="1:8" x14ac:dyDescent="0.25">
      <c r="A224" s="412" t="s">
        <v>257</v>
      </c>
      <c r="B224" s="412" t="s">
        <v>277</v>
      </c>
      <c r="C224" s="412" t="s">
        <v>300</v>
      </c>
      <c r="D224" s="412" t="s">
        <v>310</v>
      </c>
      <c r="E224" s="412" t="s">
        <v>402</v>
      </c>
      <c r="F224" s="412" t="s">
        <v>254</v>
      </c>
      <c r="G224" s="20">
        <v>0</v>
      </c>
      <c r="H224" s="20">
        <v>78.37</v>
      </c>
    </row>
    <row r="225" spans="1:8" x14ac:dyDescent="0.25">
      <c r="A225" s="412" t="s">
        <v>257</v>
      </c>
      <c r="B225" s="412" t="s">
        <v>277</v>
      </c>
      <c r="C225" s="412" t="s">
        <v>300</v>
      </c>
      <c r="D225" s="412" t="s">
        <v>309</v>
      </c>
      <c r="E225" s="412" t="s">
        <v>403</v>
      </c>
      <c r="F225" s="412" t="s">
        <v>254</v>
      </c>
      <c r="G225" s="20">
        <v>79.55</v>
      </c>
      <c r="H225" s="20">
        <v>0</v>
      </c>
    </row>
    <row r="226" spans="1:8" x14ac:dyDescent="0.25">
      <c r="A226" s="412" t="s">
        <v>257</v>
      </c>
      <c r="B226" s="412" t="s">
        <v>277</v>
      </c>
      <c r="C226" s="412" t="s">
        <v>300</v>
      </c>
      <c r="D226" s="412" t="s">
        <v>310</v>
      </c>
      <c r="E226" s="412" t="s">
        <v>403</v>
      </c>
      <c r="F226" s="412" t="s">
        <v>254</v>
      </c>
      <c r="G226" s="20">
        <v>0</v>
      </c>
      <c r="H226" s="20">
        <v>79.55</v>
      </c>
    </row>
    <row r="227" spans="1:8" x14ac:dyDescent="0.25">
      <c r="A227" s="412" t="s">
        <v>257</v>
      </c>
      <c r="B227" s="412" t="s">
        <v>277</v>
      </c>
      <c r="C227" s="412" t="s">
        <v>300</v>
      </c>
      <c r="D227" s="412" t="s">
        <v>309</v>
      </c>
      <c r="E227" s="412" t="s">
        <v>404</v>
      </c>
      <c r="F227" s="412" t="s">
        <v>254</v>
      </c>
      <c r="G227" s="20">
        <v>86.69</v>
      </c>
      <c r="H227" s="20">
        <v>0</v>
      </c>
    </row>
    <row r="228" spans="1:8" x14ac:dyDescent="0.25">
      <c r="A228" s="412" t="s">
        <v>257</v>
      </c>
      <c r="B228" s="412" t="s">
        <v>277</v>
      </c>
      <c r="C228" s="412" t="s">
        <v>300</v>
      </c>
      <c r="D228" s="412" t="s">
        <v>311</v>
      </c>
      <c r="E228" s="412" t="s">
        <v>404</v>
      </c>
      <c r="F228" s="412" t="s">
        <v>254</v>
      </c>
      <c r="G228" s="20">
        <v>0</v>
      </c>
      <c r="H228" s="20">
        <v>86.69</v>
      </c>
    </row>
    <row r="229" spans="1:8" x14ac:dyDescent="0.25">
      <c r="A229" s="412" t="s">
        <v>257</v>
      </c>
      <c r="B229" s="412" t="s">
        <v>277</v>
      </c>
      <c r="C229" s="412" t="s">
        <v>300</v>
      </c>
      <c r="D229" s="412" t="s">
        <v>309</v>
      </c>
      <c r="E229" s="412" t="s">
        <v>405</v>
      </c>
      <c r="F229" s="412" t="s">
        <v>254</v>
      </c>
      <c r="G229" s="20">
        <v>100.18</v>
      </c>
      <c r="H229" s="20">
        <v>0</v>
      </c>
    </row>
    <row r="230" spans="1:8" ht="13.8" thickBot="1" x14ac:dyDescent="0.3">
      <c r="A230" s="411" t="s">
        <v>257</v>
      </c>
      <c r="B230" s="411" t="s">
        <v>277</v>
      </c>
      <c r="C230" s="411" t="s">
        <v>300</v>
      </c>
      <c r="D230" s="411" t="s">
        <v>311</v>
      </c>
      <c r="E230" s="411" t="s">
        <v>405</v>
      </c>
      <c r="F230" s="411" t="s">
        <v>254</v>
      </c>
      <c r="G230" s="410">
        <v>0</v>
      </c>
      <c r="H230" s="410">
        <v>100.18</v>
      </c>
    </row>
    <row r="232" spans="1:8" x14ac:dyDescent="0.25">
      <c r="A232" s="412" t="s">
        <v>257</v>
      </c>
      <c r="B232" s="412" t="s">
        <v>258</v>
      </c>
      <c r="C232" s="412" t="s">
        <v>300</v>
      </c>
      <c r="D232" s="412" t="s">
        <v>310</v>
      </c>
      <c r="E232" s="412" t="s">
        <v>413</v>
      </c>
      <c r="F232" s="412" t="s">
        <v>254</v>
      </c>
      <c r="G232" s="20">
        <v>4.3600000000000003</v>
      </c>
      <c r="H232" s="20">
        <v>0</v>
      </c>
    </row>
    <row r="233" spans="1:8" x14ac:dyDescent="0.25">
      <c r="A233" s="412" t="s">
        <v>257</v>
      </c>
      <c r="B233" s="412" t="s">
        <v>277</v>
      </c>
      <c r="C233" s="412" t="s">
        <v>300</v>
      </c>
      <c r="D233" s="412" t="s">
        <v>309</v>
      </c>
      <c r="E233" s="412" t="s">
        <v>413</v>
      </c>
      <c r="F233" s="412" t="s">
        <v>254</v>
      </c>
      <c r="G233" s="20">
        <v>2.1800000000000002</v>
      </c>
      <c r="H233" s="20">
        <v>0</v>
      </c>
    </row>
    <row r="234" spans="1:8" x14ac:dyDescent="0.25">
      <c r="A234" s="412" t="s">
        <v>259</v>
      </c>
      <c r="B234" s="412" t="s">
        <v>260</v>
      </c>
      <c r="C234" s="412" t="s">
        <v>300</v>
      </c>
      <c r="D234" s="412" t="s">
        <v>310</v>
      </c>
      <c r="E234" s="412" t="s">
        <v>413</v>
      </c>
      <c r="F234" s="412" t="s">
        <v>254</v>
      </c>
      <c r="G234" s="20">
        <v>0</v>
      </c>
      <c r="H234" s="20">
        <v>6.53</v>
      </c>
    </row>
    <row r="235" spans="1:8" x14ac:dyDescent="0.25">
      <c r="A235" s="412" t="s">
        <v>257</v>
      </c>
      <c r="B235" s="412" t="s">
        <v>277</v>
      </c>
      <c r="C235" s="412" t="s">
        <v>300</v>
      </c>
      <c r="D235" s="412" t="s">
        <v>311</v>
      </c>
      <c r="E235" s="412" t="s">
        <v>407</v>
      </c>
      <c r="F235" s="412" t="s">
        <v>254</v>
      </c>
      <c r="G235" s="20">
        <v>0</v>
      </c>
      <c r="H235" s="20">
        <v>5.82</v>
      </c>
    </row>
    <row r="236" spans="1:8" x14ac:dyDescent="0.25">
      <c r="A236" s="412" t="s">
        <v>257</v>
      </c>
      <c r="B236" s="412" t="s">
        <v>277</v>
      </c>
      <c r="C236" s="412" t="s">
        <v>300</v>
      </c>
      <c r="D236" s="412" t="s">
        <v>309</v>
      </c>
      <c r="E236" s="412" t="s">
        <v>407</v>
      </c>
      <c r="F236" s="412" t="s">
        <v>254</v>
      </c>
      <c r="G236" s="20">
        <v>0</v>
      </c>
      <c r="H236" s="20">
        <v>2.91</v>
      </c>
    </row>
    <row r="237" spans="1:8" x14ac:dyDescent="0.25">
      <c r="A237" s="412" t="s">
        <v>259</v>
      </c>
      <c r="B237" s="412" t="s">
        <v>260</v>
      </c>
      <c r="C237" s="412" t="s">
        <v>300</v>
      </c>
      <c r="D237" s="412" t="s">
        <v>311</v>
      </c>
      <c r="E237" s="412" t="s">
        <v>407</v>
      </c>
      <c r="F237" s="412" t="s">
        <v>254</v>
      </c>
      <c r="G237" s="20">
        <v>8.73</v>
      </c>
      <c r="H237" s="20">
        <v>0</v>
      </c>
    </row>
    <row r="238" spans="1:8" x14ac:dyDescent="0.25">
      <c r="A238" s="412" t="s">
        <v>263</v>
      </c>
      <c r="B238" s="412" t="s">
        <v>264</v>
      </c>
      <c r="C238" s="412" t="s">
        <v>300</v>
      </c>
      <c r="D238" s="412" t="s">
        <v>309</v>
      </c>
      <c r="E238" s="412" t="s">
        <v>408</v>
      </c>
      <c r="F238" s="412" t="s">
        <v>254</v>
      </c>
      <c r="G238" s="20">
        <v>34.47</v>
      </c>
      <c r="H238" s="20">
        <v>0</v>
      </c>
    </row>
    <row r="239" spans="1:8" ht="13.8" thickBot="1" x14ac:dyDescent="0.3">
      <c r="A239" s="411" t="s">
        <v>255</v>
      </c>
      <c r="B239" s="411" t="s">
        <v>256</v>
      </c>
      <c r="C239" s="411" t="s">
        <v>300</v>
      </c>
      <c r="D239" s="411" t="s">
        <v>309</v>
      </c>
      <c r="E239" s="411" t="s">
        <v>408</v>
      </c>
      <c r="F239" s="411" t="s">
        <v>254</v>
      </c>
      <c r="G239" s="410">
        <v>0</v>
      </c>
      <c r="H239" s="410">
        <v>34.47</v>
      </c>
    </row>
    <row r="241" spans="1:8" x14ac:dyDescent="0.25">
      <c r="A241" s="412" t="s">
        <v>261</v>
      </c>
      <c r="B241" s="412" t="s">
        <v>262</v>
      </c>
      <c r="C241" s="412" t="s">
        <v>300</v>
      </c>
      <c r="D241" s="412" t="s">
        <v>309</v>
      </c>
      <c r="E241" s="412" t="s">
        <v>409</v>
      </c>
      <c r="F241" s="412" t="s">
        <v>254</v>
      </c>
      <c r="G241" s="20">
        <v>275</v>
      </c>
      <c r="H241" s="20">
        <v>0</v>
      </c>
    </row>
    <row r="242" spans="1:8" ht="13.8" thickBot="1" x14ac:dyDescent="0.3">
      <c r="A242" s="411" t="s">
        <v>259</v>
      </c>
      <c r="B242" s="411" t="s">
        <v>260</v>
      </c>
      <c r="C242" s="411" t="s">
        <v>300</v>
      </c>
      <c r="D242" s="411" t="s">
        <v>309</v>
      </c>
      <c r="E242" s="411" t="s">
        <v>409</v>
      </c>
      <c r="F242" s="411" t="s">
        <v>254</v>
      </c>
      <c r="G242" s="410">
        <v>0</v>
      </c>
      <c r="H242" s="410">
        <v>275</v>
      </c>
    </row>
    <row r="244" spans="1:8" x14ac:dyDescent="0.25">
      <c r="A244" s="412" t="s">
        <v>257</v>
      </c>
      <c r="B244" s="412" t="s">
        <v>277</v>
      </c>
      <c r="C244" s="412" t="s">
        <v>300</v>
      </c>
      <c r="D244" s="412" t="s">
        <v>311</v>
      </c>
      <c r="E244" s="412" t="s">
        <v>407</v>
      </c>
      <c r="F244" s="412" t="s">
        <v>254</v>
      </c>
      <c r="G244" s="20">
        <v>11.64</v>
      </c>
      <c r="H244" s="20">
        <v>0</v>
      </c>
    </row>
    <row r="245" spans="1:8" x14ac:dyDescent="0.25">
      <c r="A245" s="412" t="s">
        <v>257</v>
      </c>
      <c r="B245" s="412" t="s">
        <v>277</v>
      </c>
      <c r="C245" s="412" t="s">
        <v>300</v>
      </c>
      <c r="D245" s="412" t="s">
        <v>309</v>
      </c>
      <c r="E245" s="412" t="s">
        <v>407</v>
      </c>
      <c r="F245" s="412" t="s">
        <v>254</v>
      </c>
      <c r="G245" s="20">
        <v>5.82</v>
      </c>
      <c r="H245" s="20">
        <v>0</v>
      </c>
    </row>
    <row r="246" spans="1:8" ht="13.8" thickBot="1" x14ac:dyDescent="0.3">
      <c r="A246" s="411" t="s">
        <v>259</v>
      </c>
      <c r="B246" s="411" t="s">
        <v>260</v>
      </c>
      <c r="C246" s="411" t="s">
        <v>300</v>
      </c>
      <c r="D246" s="411" t="s">
        <v>311</v>
      </c>
      <c r="E246" s="411" t="s">
        <v>407</v>
      </c>
      <c r="F246" s="411" t="s">
        <v>254</v>
      </c>
      <c r="G246" s="410">
        <v>0</v>
      </c>
      <c r="H246" s="410">
        <v>17.46</v>
      </c>
    </row>
    <row r="248" spans="1:8" x14ac:dyDescent="0.25">
      <c r="A248" s="412" t="s">
        <v>301</v>
      </c>
      <c r="B248" s="412" t="s">
        <v>302</v>
      </c>
      <c r="C248" s="412" t="s">
        <v>300</v>
      </c>
      <c r="D248" s="412" t="s">
        <v>309</v>
      </c>
      <c r="E248" s="412" t="s">
        <v>410</v>
      </c>
      <c r="F248" s="412" t="s">
        <v>254</v>
      </c>
      <c r="G248" s="20">
        <v>229.17</v>
      </c>
      <c r="H248" s="20">
        <v>0</v>
      </c>
    </row>
    <row r="249" spans="1:8" ht="13.8" thickBot="1" x14ac:dyDescent="0.3">
      <c r="A249" s="411" t="s">
        <v>259</v>
      </c>
      <c r="B249" s="411" t="s">
        <v>260</v>
      </c>
      <c r="C249" s="411" t="s">
        <v>300</v>
      </c>
      <c r="D249" s="411" t="s">
        <v>309</v>
      </c>
      <c r="E249" s="411" t="s">
        <v>410</v>
      </c>
      <c r="F249" s="411" t="s">
        <v>254</v>
      </c>
      <c r="G249" s="410">
        <v>0</v>
      </c>
      <c r="H249" s="410">
        <v>229.17</v>
      </c>
    </row>
    <row r="251" spans="1:8" x14ac:dyDescent="0.25">
      <c r="A251" s="412" t="s">
        <v>257</v>
      </c>
      <c r="B251" s="412" t="s">
        <v>277</v>
      </c>
      <c r="C251" s="412" t="s">
        <v>300</v>
      </c>
      <c r="D251" s="412" t="s">
        <v>309</v>
      </c>
      <c r="E251" s="412" t="s">
        <v>411</v>
      </c>
      <c r="F251" s="412" t="s">
        <v>254</v>
      </c>
      <c r="G251" s="20">
        <v>84.71</v>
      </c>
      <c r="H251" s="20">
        <v>0</v>
      </c>
    </row>
    <row r="252" spans="1:8" x14ac:dyDescent="0.25">
      <c r="A252" s="412" t="s">
        <v>257</v>
      </c>
      <c r="B252" s="412" t="s">
        <v>277</v>
      </c>
      <c r="C252" s="412" t="s">
        <v>300</v>
      </c>
      <c r="D252" s="412" t="s">
        <v>310</v>
      </c>
      <c r="E252" s="412" t="s">
        <v>411</v>
      </c>
      <c r="F252" s="412" t="s">
        <v>254</v>
      </c>
      <c r="G252" s="20">
        <v>0</v>
      </c>
      <c r="H252" s="20">
        <v>84.71</v>
      </c>
    </row>
    <row r="253" spans="1:8" x14ac:dyDescent="0.25">
      <c r="A253" s="412" t="s">
        <v>257</v>
      </c>
      <c r="B253" s="412" t="s">
        <v>277</v>
      </c>
      <c r="C253" s="412" t="s">
        <v>300</v>
      </c>
      <c r="D253" s="412" t="s">
        <v>309</v>
      </c>
      <c r="E253" s="412" t="s">
        <v>412</v>
      </c>
      <c r="F253" s="412" t="s">
        <v>254</v>
      </c>
      <c r="G253" s="20">
        <v>116.54</v>
      </c>
      <c r="H253" s="20">
        <v>0</v>
      </c>
    </row>
    <row r="254" spans="1:8" ht="13.8" thickBot="1" x14ac:dyDescent="0.3">
      <c r="A254" s="411" t="s">
        <v>257</v>
      </c>
      <c r="B254" s="411" t="s">
        <v>277</v>
      </c>
      <c r="C254" s="411" t="s">
        <v>300</v>
      </c>
      <c r="D254" s="411" t="s">
        <v>311</v>
      </c>
      <c r="E254" s="411" t="s">
        <v>412</v>
      </c>
      <c r="F254" s="411" t="s">
        <v>254</v>
      </c>
      <c r="G254" s="410">
        <v>0</v>
      </c>
      <c r="H254" s="410">
        <v>116.54</v>
      </c>
    </row>
    <row r="257" spans="1:8" x14ac:dyDescent="0.25">
      <c r="A257" s="412" t="s">
        <v>417</v>
      </c>
      <c r="B257" s="412" t="s">
        <v>418</v>
      </c>
      <c r="C257" s="412" t="s">
        <v>300</v>
      </c>
      <c r="D257" s="412" t="s">
        <v>309</v>
      </c>
      <c r="E257" s="412" t="s">
        <v>419</v>
      </c>
      <c r="F257" s="412" t="s">
        <v>254</v>
      </c>
      <c r="G257" s="20">
        <v>201.36</v>
      </c>
      <c r="H257" s="20">
        <v>0</v>
      </c>
    </row>
    <row r="258" spans="1:8" ht="13.8" thickBot="1" x14ac:dyDescent="0.3">
      <c r="A258" s="411" t="s">
        <v>420</v>
      </c>
      <c r="B258" s="411" t="s">
        <v>421</v>
      </c>
      <c r="C258" s="411" t="s">
        <v>300</v>
      </c>
      <c r="D258" s="411" t="s">
        <v>309</v>
      </c>
      <c r="E258" s="411" t="s">
        <v>419</v>
      </c>
      <c r="F258" s="411" t="s">
        <v>254</v>
      </c>
      <c r="G258" s="410">
        <v>0</v>
      </c>
      <c r="H258" s="410">
        <v>201.36</v>
      </c>
    </row>
    <row r="259" spans="1:8" x14ac:dyDescent="0.25">
      <c r="A259" s="412"/>
      <c r="B259" s="412"/>
      <c r="C259" s="412"/>
      <c r="D259" s="412"/>
      <c r="E259" s="412"/>
      <c r="F259" s="412"/>
      <c r="G259" s="20"/>
      <c r="H259" s="20"/>
    </row>
    <row r="260" spans="1:8" x14ac:dyDescent="0.25">
      <c r="A260" s="412" t="s">
        <v>422</v>
      </c>
      <c r="B260" s="412" t="s">
        <v>423</v>
      </c>
      <c r="C260" s="412" t="s">
        <v>300</v>
      </c>
      <c r="D260" s="412" t="s">
        <v>309</v>
      </c>
      <c r="E260" s="412" t="s">
        <v>424</v>
      </c>
      <c r="F260" s="412" t="s">
        <v>254</v>
      </c>
      <c r="G260" s="20">
        <v>0</v>
      </c>
      <c r="H260" s="20">
        <v>1156.67</v>
      </c>
    </row>
    <row r="261" spans="1:8" ht="13.8" thickBot="1" x14ac:dyDescent="0.3">
      <c r="A261" s="411" t="s">
        <v>425</v>
      </c>
      <c r="B261" s="411" t="s">
        <v>426</v>
      </c>
      <c r="C261" s="411" t="s">
        <v>300</v>
      </c>
      <c r="D261" s="411" t="s">
        <v>309</v>
      </c>
      <c r="E261" s="411" t="s">
        <v>424</v>
      </c>
      <c r="F261" s="411" t="s">
        <v>254</v>
      </c>
      <c r="G261" s="410">
        <v>1156.67</v>
      </c>
      <c r="H261" s="410">
        <v>0</v>
      </c>
    </row>
    <row r="263" spans="1:8" x14ac:dyDescent="0.25">
      <c r="A263" s="412" t="s">
        <v>427</v>
      </c>
      <c r="B263" s="412" t="s">
        <v>428</v>
      </c>
      <c r="C263" s="412" t="s">
        <v>300</v>
      </c>
      <c r="D263" s="412" t="s">
        <v>309</v>
      </c>
      <c r="E263" s="412" t="s">
        <v>429</v>
      </c>
      <c r="F263" s="412" t="s">
        <v>254</v>
      </c>
      <c r="G263" s="20">
        <v>3900</v>
      </c>
      <c r="H263" s="20">
        <v>0</v>
      </c>
    </row>
    <row r="264" spans="1:8" ht="13.8" thickBot="1" x14ac:dyDescent="0.3">
      <c r="A264" s="411" t="s">
        <v>259</v>
      </c>
      <c r="B264" s="411" t="s">
        <v>260</v>
      </c>
      <c r="C264" s="411" t="s">
        <v>300</v>
      </c>
      <c r="D264" s="411" t="s">
        <v>309</v>
      </c>
      <c r="E264" s="411" t="s">
        <v>429</v>
      </c>
      <c r="F264" s="411" t="s">
        <v>254</v>
      </c>
      <c r="G264" s="410">
        <v>0</v>
      </c>
      <c r="H264" s="410">
        <v>3900</v>
      </c>
    </row>
    <row r="266" spans="1:8" x14ac:dyDescent="0.25">
      <c r="A266" s="412" t="s">
        <v>259</v>
      </c>
      <c r="B266" s="412" t="s">
        <v>260</v>
      </c>
      <c r="C266" s="412" t="s">
        <v>300</v>
      </c>
      <c r="D266" s="412" t="s">
        <v>309</v>
      </c>
      <c r="E266" s="412" t="s">
        <v>430</v>
      </c>
      <c r="F266" s="412" t="s">
        <v>254</v>
      </c>
      <c r="G266" s="20">
        <v>0</v>
      </c>
      <c r="H266" s="20">
        <v>562.5</v>
      </c>
    </row>
    <row r="267" spans="1:8" ht="13.8" thickBot="1" x14ac:dyDescent="0.3">
      <c r="A267" s="411" t="s">
        <v>301</v>
      </c>
      <c r="B267" s="411" t="s">
        <v>302</v>
      </c>
      <c r="C267" s="411" t="s">
        <v>300</v>
      </c>
      <c r="D267" s="411" t="s">
        <v>309</v>
      </c>
      <c r="E267" s="411" t="s">
        <v>430</v>
      </c>
      <c r="F267" s="411" t="s">
        <v>254</v>
      </c>
      <c r="G267" s="410">
        <v>562.5</v>
      </c>
      <c r="H267" s="410">
        <v>0</v>
      </c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J218"/>
  <sheetViews>
    <sheetView view="pageBreakPreview" topLeftCell="A127" zoomScaleNormal="100" zoomScaleSheetLayoutView="75" workbookViewId="0">
      <pane xSplit="1" topLeftCell="B1" activePane="topRight" state="frozen"/>
      <selection pane="topRight" activeCell="D159" sqref="D159"/>
    </sheetView>
  </sheetViews>
  <sheetFormatPr defaultColWidth="9.109375" defaultRowHeight="13.2" outlineLevelRow="1" outlineLevelCol="1" x14ac:dyDescent="0.25"/>
  <cols>
    <col min="1" max="1" width="48.33203125" style="423" customWidth="1"/>
    <col min="2" max="2" width="17.5546875" style="426" bestFit="1" customWidth="1"/>
    <col min="3" max="4" width="22.33203125" style="421" bestFit="1" customWidth="1"/>
    <col min="5" max="5" width="23.44140625" style="422" bestFit="1" customWidth="1" outlineLevel="1"/>
    <col min="6" max="6" width="21.6640625" style="422" bestFit="1" customWidth="1"/>
    <col min="7" max="8" width="16.33203125" style="422" bestFit="1" customWidth="1" outlineLevel="1"/>
    <col min="9" max="9" width="4.33203125" style="422" customWidth="1" outlineLevel="1"/>
    <col min="10" max="10" width="27.88671875" style="422" customWidth="1"/>
    <col min="11" max="16384" width="9.109375" style="422"/>
  </cols>
  <sheetData>
    <row r="1" spans="1:10" ht="15.6" thickBot="1" x14ac:dyDescent="0.3">
      <c r="A1" s="428" t="s">
        <v>155</v>
      </c>
      <c r="B1" s="429" t="s">
        <v>573</v>
      </c>
      <c r="C1" s="430"/>
      <c r="D1" s="627">
        <v>43525</v>
      </c>
      <c r="E1" s="431"/>
      <c r="F1" s="431"/>
      <c r="I1" s="564" t="s">
        <v>131</v>
      </c>
    </row>
    <row r="2" spans="1:10" ht="15.6" thickBot="1" x14ac:dyDescent="0.3">
      <c r="A2" s="432"/>
      <c r="B2" s="432"/>
      <c r="C2" s="430"/>
      <c r="D2" s="430"/>
      <c r="E2" s="628"/>
      <c r="F2" s="431"/>
      <c r="I2" s="564" t="s">
        <v>131</v>
      </c>
    </row>
    <row r="3" spans="1:10" ht="27" thickBot="1" x14ac:dyDescent="0.3">
      <c r="A3" s="532" t="s">
        <v>1</v>
      </c>
      <c r="B3" s="565" t="s">
        <v>2</v>
      </c>
      <c r="C3" s="629" t="s">
        <v>528</v>
      </c>
      <c r="D3" s="629" t="s">
        <v>568</v>
      </c>
      <c r="E3" s="630" t="s">
        <v>213</v>
      </c>
      <c r="F3" s="630" t="s">
        <v>182</v>
      </c>
      <c r="G3" s="631" t="s">
        <v>214</v>
      </c>
      <c r="H3" s="566" t="s">
        <v>215</v>
      </c>
      <c r="I3" s="564"/>
    </row>
    <row r="4" spans="1:10" ht="15.6" thickBot="1" x14ac:dyDescent="0.3">
      <c r="A4" s="567" t="s">
        <v>3</v>
      </c>
      <c r="B4" s="568"/>
      <c r="C4" s="632"/>
      <c r="D4" s="632"/>
      <c r="E4" s="630"/>
      <c r="F4" s="632"/>
      <c r="G4" s="633"/>
      <c r="H4" s="569"/>
      <c r="I4" s="564"/>
      <c r="J4" s="589" t="s">
        <v>577</v>
      </c>
    </row>
    <row r="5" spans="1:10" ht="15" x14ac:dyDescent="0.25">
      <c r="A5" s="433" t="s">
        <v>276</v>
      </c>
      <c r="B5" s="626">
        <v>4000</v>
      </c>
      <c r="C5" s="634">
        <v>21835.65</v>
      </c>
      <c r="D5" s="634">
        <v>22484.45</v>
      </c>
      <c r="E5" s="434">
        <f>D5/12*I5</f>
        <v>22484.45</v>
      </c>
      <c r="F5" s="434">
        <v>22484.6</v>
      </c>
      <c r="G5" s="635">
        <f>D5-F5</f>
        <v>-0.14999999999781721</v>
      </c>
      <c r="H5" s="500">
        <f t="shared" ref="H5:H24" si="0">+F5-E5</f>
        <v>0.14999999999781721</v>
      </c>
      <c r="I5" s="564">
        <v>12</v>
      </c>
      <c r="J5" s="587"/>
    </row>
    <row r="6" spans="1:10" ht="15" x14ac:dyDescent="0.25">
      <c r="A6" s="435" t="s">
        <v>5</v>
      </c>
      <c r="B6" s="436"/>
      <c r="C6" s="634">
        <v>0</v>
      </c>
      <c r="D6" s="634">
        <v>0</v>
      </c>
      <c r="E6" s="434">
        <f t="shared" ref="E6:E24" si="1">D6/12*I6</f>
        <v>0</v>
      </c>
      <c r="F6" s="434">
        <v>0</v>
      </c>
      <c r="G6" s="635">
        <f t="shared" ref="G6:G24" si="2">D6-F6</f>
        <v>0</v>
      </c>
      <c r="H6" s="500">
        <f t="shared" si="0"/>
        <v>0</v>
      </c>
      <c r="I6" s="564">
        <f>I5</f>
        <v>12</v>
      </c>
      <c r="J6" s="587"/>
    </row>
    <row r="7" spans="1:10" ht="15" x14ac:dyDescent="0.25">
      <c r="A7" s="435" t="s">
        <v>6</v>
      </c>
      <c r="B7" s="436">
        <v>4002</v>
      </c>
      <c r="C7" s="634">
        <v>3674.1</v>
      </c>
      <c r="D7" s="634">
        <v>3782.76</v>
      </c>
      <c r="E7" s="434">
        <f t="shared" si="1"/>
        <v>3782.76</v>
      </c>
      <c r="F7" s="434">
        <v>3782.76</v>
      </c>
      <c r="G7" s="635">
        <f t="shared" si="2"/>
        <v>0</v>
      </c>
      <c r="H7" s="500">
        <f t="shared" si="0"/>
        <v>0</v>
      </c>
      <c r="I7" s="564">
        <f t="shared" ref="I7:I24" si="3">I6</f>
        <v>12</v>
      </c>
      <c r="J7" s="587"/>
    </row>
    <row r="8" spans="1:10" ht="15" x14ac:dyDescent="0.25">
      <c r="A8" s="435" t="s">
        <v>7</v>
      </c>
      <c r="B8" s="436">
        <v>4003</v>
      </c>
      <c r="C8" s="634">
        <v>29078.52</v>
      </c>
      <c r="D8" s="634">
        <f>28129.19+1812.72</f>
        <v>29941.91</v>
      </c>
      <c r="E8" s="434">
        <f t="shared" si="1"/>
        <v>29941.910000000003</v>
      </c>
      <c r="F8" s="434">
        <v>29941.919999999998</v>
      </c>
      <c r="G8" s="635">
        <f t="shared" si="2"/>
        <v>-9.9999999983992893E-3</v>
      </c>
      <c r="H8" s="500">
        <f t="shared" si="0"/>
        <v>9.9999999947613105E-3</v>
      </c>
      <c r="I8" s="564">
        <f t="shared" si="3"/>
        <v>12</v>
      </c>
      <c r="J8" s="587"/>
    </row>
    <row r="9" spans="1:10" ht="15" x14ac:dyDescent="0.25">
      <c r="A9" s="435" t="s">
        <v>8</v>
      </c>
      <c r="B9" s="436">
        <v>4004</v>
      </c>
      <c r="C9" s="634">
        <v>0</v>
      </c>
      <c r="D9" s="634">
        <v>0</v>
      </c>
      <c r="E9" s="434">
        <f t="shared" si="1"/>
        <v>0</v>
      </c>
      <c r="F9" s="434">
        <v>0</v>
      </c>
      <c r="G9" s="635">
        <f t="shared" si="2"/>
        <v>0</v>
      </c>
      <c r="H9" s="500">
        <f t="shared" si="0"/>
        <v>0</v>
      </c>
      <c r="I9" s="564">
        <f t="shared" si="3"/>
        <v>12</v>
      </c>
      <c r="J9" s="587"/>
    </row>
    <row r="10" spans="1:10" ht="15" x14ac:dyDescent="0.25">
      <c r="A10" s="435" t="s">
        <v>273</v>
      </c>
      <c r="B10" s="436">
        <v>4005</v>
      </c>
      <c r="C10" s="634">
        <v>12254.39</v>
      </c>
      <c r="D10" s="634">
        <v>12618.45</v>
      </c>
      <c r="E10" s="434">
        <f t="shared" si="1"/>
        <v>12618.45</v>
      </c>
      <c r="F10" s="434">
        <v>12618.44</v>
      </c>
      <c r="G10" s="635">
        <f t="shared" si="2"/>
        <v>1.0000000000218279E-2</v>
      </c>
      <c r="H10" s="500">
        <f t="shared" si="0"/>
        <v>-1.0000000000218279E-2</v>
      </c>
      <c r="I10" s="564">
        <f t="shared" si="3"/>
        <v>12</v>
      </c>
      <c r="J10" s="587"/>
    </row>
    <row r="11" spans="1:10" ht="15" x14ac:dyDescent="0.25">
      <c r="A11" s="435" t="s">
        <v>10</v>
      </c>
      <c r="B11" s="436">
        <v>4006</v>
      </c>
      <c r="C11" s="634">
        <v>0</v>
      </c>
      <c r="D11" s="634">
        <v>0</v>
      </c>
      <c r="E11" s="434">
        <f t="shared" si="1"/>
        <v>0</v>
      </c>
      <c r="F11" s="434">
        <v>0</v>
      </c>
      <c r="G11" s="635">
        <f t="shared" si="2"/>
        <v>0</v>
      </c>
      <c r="H11" s="500">
        <f t="shared" si="0"/>
        <v>0</v>
      </c>
      <c r="I11" s="564">
        <f t="shared" si="3"/>
        <v>12</v>
      </c>
      <c r="J11" s="587"/>
    </row>
    <row r="12" spans="1:10" ht="15" x14ac:dyDescent="0.25">
      <c r="A12" s="435" t="s">
        <v>274</v>
      </c>
      <c r="B12" s="436">
        <v>4007</v>
      </c>
      <c r="C12" s="634">
        <v>0</v>
      </c>
      <c r="D12" s="634">
        <v>0</v>
      </c>
      <c r="E12" s="434">
        <f t="shared" si="1"/>
        <v>0</v>
      </c>
      <c r="F12" s="434">
        <v>0</v>
      </c>
      <c r="G12" s="635">
        <f t="shared" si="2"/>
        <v>0</v>
      </c>
      <c r="H12" s="500">
        <f t="shared" si="0"/>
        <v>0</v>
      </c>
      <c r="I12" s="564">
        <f t="shared" si="3"/>
        <v>12</v>
      </c>
      <c r="J12" s="587"/>
    </row>
    <row r="13" spans="1:10" ht="15" x14ac:dyDescent="0.25">
      <c r="A13" s="435" t="s">
        <v>275</v>
      </c>
      <c r="B13" s="436">
        <v>4021</v>
      </c>
      <c r="C13" s="634">
        <v>4779.78</v>
      </c>
      <c r="D13" s="634">
        <v>4906.0600000000004</v>
      </c>
      <c r="E13" s="434">
        <f t="shared" si="1"/>
        <v>4906.0600000000004</v>
      </c>
      <c r="F13" s="434">
        <v>5045.4799999999996</v>
      </c>
      <c r="G13" s="635">
        <f t="shared" si="2"/>
        <v>-139.41999999999916</v>
      </c>
      <c r="H13" s="500">
        <f t="shared" si="0"/>
        <v>139.41999999999916</v>
      </c>
      <c r="I13" s="564">
        <f t="shared" si="3"/>
        <v>12</v>
      </c>
      <c r="J13" s="587"/>
    </row>
    <row r="14" spans="1:10" ht="15" x14ac:dyDescent="0.25">
      <c r="A14" s="435" t="s">
        <v>12</v>
      </c>
      <c r="B14" s="436">
        <v>4025</v>
      </c>
      <c r="C14" s="634">
        <v>5358.06</v>
      </c>
      <c r="D14" s="634">
        <v>5381.2800000000298</v>
      </c>
      <c r="E14" s="434">
        <f t="shared" si="1"/>
        <v>5381.2800000000298</v>
      </c>
      <c r="F14" s="434">
        <v>5399.64</v>
      </c>
      <c r="G14" s="635">
        <f t="shared" si="2"/>
        <v>-18.359999999970569</v>
      </c>
      <c r="H14" s="500">
        <f t="shared" si="0"/>
        <v>18.359999999970569</v>
      </c>
      <c r="I14" s="564">
        <f t="shared" si="3"/>
        <v>12</v>
      </c>
      <c r="J14" s="587"/>
    </row>
    <row r="15" spans="1:10" ht="15" x14ac:dyDescent="0.25">
      <c r="A15" s="435" t="s">
        <v>13</v>
      </c>
      <c r="B15" s="436">
        <v>4010</v>
      </c>
      <c r="C15" s="634">
        <v>35643.35</v>
      </c>
      <c r="D15" s="634">
        <v>36702.29</v>
      </c>
      <c r="E15" s="434">
        <f t="shared" si="1"/>
        <v>36702.29</v>
      </c>
      <c r="F15" s="434">
        <v>41357.19</v>
      </c>
      <c r="G15" s="635">
        <f t="shared" si="2"/>
        <v>-4654.9000000000015</v>
      </c>
      <c r="H15" s="500">
        <f t="shared" si="0"/>
        <v>4654.9000000000015</v>
      </c>
      <c r="I15" s="564">
        <f t="shared" si="3"/>
        <v>12</v>
      </c>
      <c r="J15" s="587" t="s">
        <v>582</v>
      </c>
    </row>
    <row r="16" spans="1:10" ht="15" x14ac:dyDescent="0.25">
      <c r="A16" s="435" t="s">
        <v>14</v>
      </c>
      <c r="B16" s="436">
        <v>4030</v>
      </c>
      <c r="C16" s="634">
        <v>0</v>
      </c>
      <c r="D16" s="634">
        <v>0</v>
      </c>
      <c r="E16" s="434">
        <f t="shared" si="1"/>
        <v>0</v>
      </c>
      <c r="F16" s="434">
        <v>152.88</v>
      </c>
      <c r="G16" s="635">
        <f t="shared" si="2"/>
        <v>-152.88</v>
      </c>
      <c r="H16" s="500">
        <f t="shared" si="0"/>
        <v>152.88</v>
      </c>
      <c r="I16" s="564">
        <f t="shared" si="3"/>
        <v>12</v>
      </c>
      <c r="J16" s="587"/>
    </row>
    <row r="17" spans="1:10" ht="15" x14ac:dyDescent="0.25">
      <c r="A17" s="435" t="s">
        <v>15</v>
      </c>
      <c r="B17" s="436">
        <v>4040</v>
      </c>
      <c r="C17" s="634">
        <v>0</v>
      </c>
      <c r="D17" s="634">
        <v>0</v>
      </c>
      <c r="E17" s="434">
        <f t="shared" si="1"/>
        <v>0</v>
      </c>
      <c r="F17" s="434">
        <v>0</v>
      </c>
      <c r="G17" s="635">
        <f t="shared" si="2"/>
        <v>0</v>
      </c>
      <c r="H17" s="500">
        <f t="shared" si="0"/>
        <v>0</v>
      </c>
      <c r="I17" s="564">
        <f t="shared" si="3"/>
        <v>12</v>
      </c>
      <c r="J17" s="587"/>
    </row>
    <row r="18" spans="1:10" ht="15" x14ac:dyDescent="0.25">
      <c r="A18" s="435" t="s">
        <v>16</v>
      </c>
      <c r="B18" s="436">
        <v>4051</v>
      </c>
      <c r="C18" s="634">
        <v>0</v>
      </c>
      <c r="D18" s="634">
        <v>0</v>
      </c>
      <c r="E18" s="434">
        <f t="shared" si="1"/>
        <v>0</v>
      </c>
      <c r="F18" s="434">
        <v>0</v>
      </c>
      <c r="G18" s="635">
        <f t="shared" si="2"/>
        <v>0</v>
      </c>
      <c r="H18" s="500">
        <f t="shared" si="0"/>
        <v>0</v>
      </c>
      <c r="I18" s="564">
        <f t="shared" si="3"/>
        <v>12</v>
      </c>
      <c r="J18" s="587"/>
    </row>
    <row r="19" spans="1:10" ht="15" x14ac:dyDescent="0.25">
      <c r="A19" s="435" t="s">
        <v>17</v>
      </c>
      <c r="B19" s="436">
        <v>4060</v>
      </c>
      <c r="C19" s="634">
        <v>0</v>
      </c>
      <c r="D19" s="634">
        <v>0</v>
      </c>
      <c r="E19" s="434">
        <f t="shared" si="1"/>
        <v>0</v>
      </c>
      <c r="F19" s="434">
        <v>0</v>
      </c>
      <c r="G19" s="635">
        <f t="shared" si="2"/>
        <v>0</v>
      </c>
      <c r="H19" s="500">
        <f t="shared" si="0"/>
        <v>0</v>
      </c>
      <c r="I19" s="564">
        <f t="shared" si="3"/>
        <v>12</v>
      </c>
      <c r="J19" s="587"/>
    </row>
    <row r="20" spans="1:10" ht="15" x14ac:dyDescent="0.25">
      <c r="A20" s="553" t="s">
        <v>18</v>
      </c>
      <c r="B20" s="554">
        <v>4065</v>
      </c>
      <c r="C20" s="636">
        <v>0</v>
      </c>
      <c r="D20" s="636">
        <v>0</v>
      </c>
      <c r="E20" s="637">
        <f t="shared" si="1"/>
        <v>0</v>
      </c>
      <c r="F20" s="637">
        <v>3926.28</v>
      </c>
      <c r="G20" s="638">
        <f t="shared" si="2"/>
        <v>-3926.28</v>
      </c>
      <c r="H20" s="639">
        <f t="shared" si="0"/>
        <v>3926.28</v>
      </c>
      <c r="I20" s="564">
        <f t="shared" si="3"/>
        <v>12</v>
      </c>
      <c r="J20" s="587" t="s">
        <v>578</v>
      </c>
    </row>
    <row r="21" spans="1:10" ht="15" x14ac:dyDescent="0.25">
      <c r="A21" s="435" t="s">
        <v>19</v>
      </c>
      <c r="B21" s="436">
        <v>4085</v>
      </c>
      <c r="C21" s="634">
        <v>0</v>
      </c>
      <c r="D21" s="634">
        <v>0</v>
      </c>
      <c r="E21" s="434">
        <f t="shared" si="1"/>
        <v>0</v>
      </c>
      <c r="F21" s="434">
        <v>127</v>
      </c>
      <c r="G21" s="635">
        <f t="shared" si="2"/>
        <v>-127</v>
      </c>
      <c r="H21" s="500">
        <f t="shared" si="0"/>
        <v>127</v>
      </c>
      <c r="I21" s="564">
        <f t="shared" si="3"/>
        <v>12</v>
      </c>
      <c r="J21" s="587"/>
    </row>
    <row r="22" spans="1:10" ht="15" x14ac:dyDescent="0.25">
      <c r="A22" s="435" t="s">
        <v>272</v>
      </c>
      <c r="B22" s="436">
        <v>4090</v>
      </c>
      <c r="C22" s="634">
        <v>2080</v>
      </c>
      <c r="D22" s="634">
        <v>0</v>
      </c>
      <c r="E22" s="434">
        <f t="shared" si="1"/>
        <v>0</v>
      </c>
      <c r="F22" s="434">
        <v>2115.3000000000002</v>
      </c>
      <c r="G22" s="635">
        <f t="shared" si="2"/>
        <v>-2115.3000000000002</v>
      </c>
      <c r="H22" s="500">
        <f t="shared" si="0"/>
        <v>2115.3000000000002</v>
      </c>
      <c r="I22" s="564">
        <f t="shared" si="3"/>
        <v>12</v>
      </c>
      <c r="J22" s="587" t="s">
        <v>579</v>
      </c>
    </row>
    <row r="23" spans="1:10" ht="15" x14ac:dyDescent="0.25">
      <c r="A23" s="435" t="s">
        <v>20</v>
      </c>
      <c r="B23" s="436">
        <v>4095</v>
      </c>
      <c r="C23" s="434">
        <v>0</v>
      </c>
      <c r="D23" s="434">
        <v>0</v>
      </c>
      <c r="E23" s="434">
        <f t="shared" si="1"/>
        <v>0</v>
      </c>
      <c r="F23" s="434">
        <v>125</v>
      </c>
      <c r="G23" s="635">
        <f t="shared" si="2"/>
        <v>-125</v>
      </c>
      <c r="H23" s="500">
        <f t="shared" si="0"/>
        <v>125</v>
      </c>
      <c r="I23" s="564">
        <f t="shared" si="3"/>
        <v>12</v>
      </c>
      <c r="J23" s="587" t="s">
        <v>580</v>
      </c>
    </row>
    <row r="24" spans="1:10" ht="15.6" thickBot="1" x14ac:dyDescent="0.3">
      <c r="A24" s="437" t="s">
        <v>21</v>
      </c>
      <c r="B24" s="438">
        <v>4100</v>
      </c>
      <c r="C24" s="434">
        <v>0</v>
      </c>
      <c r="D24" s="434">
        <v>0</v>
      </c>
      <c r="E24" s="434">
        <f t="shared" si="1"/>
        <v>0</v>
      </c>
      <c r="F24" s="434">
        <v>0</v>
      </c>
      <c r="G24" s="635">
        <f t="shared" si="2"/>
        <v>0</v>
      </c>
      <c r="H24" s="500">
        <f t="shared" si="0"/>
        <v>0</v>
      </c>
      <c r="I24" s="564">
        <f t="shared" si="3"/>
        <v>12</v>
      </c>
      <c r="J24" s="587"/>
    </row>
    <row r="25" spans="1:10" ht="15.6" thickBot="1" x14ac:dyDescent="0.3">
      <c r="A25" s="532" t="s">
        <v>22</v>
      </c>
      <c r="B25" s="533"/>
      <c r="C25" s="630">
        <f t="shared" ref="C25:D25" si="4">SUM(C5:C24)</f>
        <v>114703.85</v>
      </c>
      <c r="D25" s="630">
        <f t="shared" si="4"/>
        <v>115817.20000000001</v>
      </c>
      <c r="E25" s="630">
        <f>SUM(E5:E24)</f>
        <v>115817.20000000004</v>
      </c>
      <c r="F25" s="630">
        <f>SUM(F5:F24)</f>
        <v>127076.49</v>
      </c>
      <c r="G25" s="630">
        <f t="shared" ref="G25:H25" si="5">SUM(G5:G24)</f>
        <v>-11259.289999999968</v>
      </c>
      <c r="H25" s="630">
        <f t="shared" si="5"/>
        <v>11259.289999999964</v>
      </c>
      <c r="I25" s="564"/>
      <c r="J25" s="587"/>
    </row>
    <row r="26" spans="1:10" ht="15.6" thickBot="1" x14ac:dyDescent="0.3">
      <c r="A26" s="432"/>
      <c r="B26" s="440"/>
      <c r="C26" s="430"/>
      <c r="D26" s="430"/>
      <c r="E26" s="431"/>
      <c r="F26" s="431"/>
      <c r="I26" s="564"/>
      <c r="J26" s="587"/>
    </row>
    <row r="27" spans="1:10" ht="27" thickBot="1" x14ac:dyDescent="0.3">
      <c r="A27" s="570" t="s">
        <v>160</v>
      </c>
      <c r="B27" s="571" t="s">
        <v>2</v>
      </c>
      <c r="C27" s="498" t="str">
        <f>+C3</f>
        <v>Budget 2017-18</v>
      </c>
      <c r="D27" s="498" t="s">
        <v>568</v>
      </c>
      <c r="E27" s="498" t="s">
        <v>213</v>
      </c>
      <c r="F27" s="498" t="s">
        <v>184</v>
      </c>
      <c r="G27" s="640" t="s">
        <v>216</v>
      </c>
      <c r="H27" s="572" t="s">
        <v>215</v>
      </c>
      <c r="I27" s="564"/>
      <c r="J27" s="587"/>
    </row>
    <row r="28" spans="1:10" ht="15" x14ac:dyDescent="0.25">
      <c r="A28" s="441" t="s">
        <v>23</v>
      </c>
      <c r="B28" s="442">
        <v>6000</v>
      </c>
      <c r="C28" s="526">
        <v>5800</v>
      </c>
      <c r="D28" s="526">
        <v>2765.84</v>
      </c>
      <c r="E28" s="434">
        <f>D28/12*I28</f>
        <v>2765.84</v>
      </c>
      <c r="F28" s="434">
        <f>6980.66/2</f>
        <v>3490.33</v>
      </c>
      <c r="G28" s="635">
        <f>D28-F28</f>
        <v>-724.48999999999978</v>
      </c>
      <c r="H28" s="500">
        <f t="shared" ref="H28:H36" si="6">E28-F28</f>
        <v>-724.48999999999978</v>
      </c>
      <c r="I28" s="564">
        <f>I24</f>
        <v>12</v>
      </c>
      <c r="J28" s="587" t="s">
        <v>583</v>
      </c>
    </row>
    <row r="29" spans="1:10" ht="15" x14ac:dyDescent="0.25">
      <c r="A29" s="435" t="s">
        <v>25</v>
      </c>
      <c r="B29" s="444">
        <v>6020</v>
      </c>
      <c r="C29" s="526">
        <v>1000</v>
      </c>
      <c r="D29" s="526">
        <v>1000</v>
      </c>
      <c r="E29" s="434">
        <f t="shared" ref="E29:E36" si="7">D29/12*I29</f>
        <v>1000</v>
      </c>
      <c r="F29" s="434">
        <v>1000</v>
      </c>
      <c r="G29" s="635">
        <f t="shared" ref="G29:G36" si="8">D29-F29</f>
        <v>0</v>
      </c>
      <c r="H29" s="500">
        <f t="shared" si="6"/>
        <v>0</v>
      </c>
      <c r="I29" s="564">
        <f>I28</f>
        <v>12</v>
      </c>
      <c r="J29" s="587" t="s">
        <v>584</v>
      </c>
    </row>
    <row r="30" spans="1:10" ht="15" x14ac:dyDescent="0.25">
      <c r="A30" s="435" t="s">
        <v>27</v>
      </c>
      <c r="B30" s="444">
        <v>6026</v>
      </c>
      <c r="C30" s="526">
        <v>1000</v>
      </c>
      <c r="D30" s="526">
        <v>1000</v>
      </c>
      <c r="E30" s="434">
        <f t="shared" si="7"/>
        <v>1000</v>
      </c>
      <c r="F30" s="434">
        <v>1674.23</v>
      </c>
      <c r="G30" s="635">
        <f t="shared" si="8"/>
        <v>-674.23</v>
      </c>
      <c r="H30" s="500">
        <f t="shared" si="6"/>
        <v>-674.23</v>
      </c>
      <c r="I30" s="564">
        <f t="shared" ref="I30:I36" si="9">I29</f>
        <v>12</v>
      </c>
      <c r="J30" s="587" t="s">
        <v>584</v>
      </c>
    </row>
    <row r="31" spans="1:10" ht="15" x14ac:dyDescent="0.25">
      <c r="A31" s="435" t="s">
        <v>28</v>
      </c>
      <c r="B31" s="444">
        <v>6027</v>
      </c>
      <c r="C31" s="526">
        <v>300</v>
      </c>
      <c r="D31" s="526">
        <v>0</v>
      </c>
      <c r="E31" s="434">
        <f t="shared" si="7"/>
        <v>0</v>
      </c>
      <c r="F31" s="434">
        <v>0</v>
      </c>
      <c r="G31" s="635">
        <f t="shared" si="8"/>
        <v>0</v>
      </c>
      <c r="H31" s="500">
        <f t="shared" si="6"/>
        <v>0</v>
      </c>
      <c r="I31" s="564">
        <f t="shared" si="9"/>
        <v>12</v>
      </c>
      <c r="J31" s="587"/>
    </row>
    <row r="32" spans="1:10" ht="15" x14ac:dyDescent="0.25">
      <c r="A32" s="435" t="s">
        <v>35</v>
      </c>
      <c r="B32" s="444">
        <v>6060</v>
      </c>
      <c r="C32" s="526">
        <v>300</v>
      </c>
      <c r="D32" s="526">
        <v>0</v>
      </c>
      <c r="E32" s="434">
        <f t="shared" si="7"/>
        <v>0</v>
      </c>
      <c r="F32" s="434">
        <v>332.5</v>
      </c>
      <c r="G32" s="635">
        <f t="shared" si="8"/>
        <v>-332.5</v>
      </c>
      <c r="H32" s="500">
        <f t="shared" si="6"/>
        <v>-332.5</v>
      </c>
      <c r="I32" s="564">
        <f t="shared" si="9"/>
        <v>12</v>
      </c>
      <c r="J32" s="587" t="s">
        <v>584</v>
      </c>
    </row>
    <row r="33" spans="1:10" ht="15" x14ac:dyDescent="0.25">
      <c r="A33" s="435" t="s">
        <v>36</v>
      </c>
      <c r="B33" s="444">
        <v>6061</v>
      </c>
      <c r="C33" s="526">
        <v>300</v>
      </c>
      <c r="D33" s="526">
        <v>0</v>
      </c>
      <c r="E33" s="434">
        <f t="shared" si="7"/>
        <v>0</v>
      </c>
      <c r="F33" s="434">
        <v>0</v>
      </c>
      <c r="G33" s="635">
        <f t="shared" si="8"/>
        <v>0</v>
      </c>
      <c r="H33" s="500">
        <f t="shared" si="6"/>
        <v>0</v>
      </c>
      <c r="I33" s="564">
        <f t="shared" si="9"/>
        <v>12</v>
      </c>
      <c r="J33" s="587"/>
    </row>
    <row r="34" spans="1:10" ht="15" x14ac:dyDescent="0.25">
      <c r="A34" s="435" t="s">
        <v>39</v>
      </c>
      <c r="B34" s="444">
        <v>6090</v>
      </c>
      <c r="C34" s="434">
        <v>0</v>
      </c>
      <c r="D34" s="434">
        <v>0</v>
      </c>
      <c r="E34" s="434">
        <f t="shared" si="7"/>
        <v>0</v>
      </c>
      <c r="F34" s="434">
        <v>0</v>
      </c>
      <c r="G34" s="635">
        <f t="shared" si="8"/>
        <v>0</v>
      </c>
      <c r="H34" s="500">
        <f t="shared" si="6"/>
        <v>0</v>
      </c>
      <c r="I34" s="564">
        <f t="shared" si="9"/>
        <v>12</v>
      </c>
      <c r="J34" s="587"/>
    </row>
    <row r="35" spans="1:10" ht="15" x14ac:dyDescent="0.25">
      <c r="A35" s="435" t="s">
        <v>168</v>
      </c>
      <c r="B35" s="444">
        <v>6040</v>
      </c>
      <c r="C35" s="434">
        <v>0</v>
      </c>
      <c r="D35" s="434">
        <v>2000</v>
      </c>
      <c r="E35" s="434">
        <f t="shared" si="7"/>
        <v>2000</v>
      </c>
      <c r="F35" s="434">
        <v>3323.05</v>
      </c>
      <c r="G35" s="635">
        <f t="shared" si="8"/>
        <v>-1323.0500000000002</v>
      </c>
      <c r="H35" s="500">
        <f t="shared" si="6"/>
        <v>-1323.0500000000002</v>
      </c>
      <c r="I35" s="564">
        <f t="shared" si="9"/>
        <v>12</v>
      </c>
      <c r="J35" s="587" t="s">
        <v>584</v>
      </c>
    </row>
    <row r="36" spans="1:10" ht="15.6" thickBot="1" x14ac:dyDescent="0.3">
      <c r="A36" s="435" t="s">
        <v>42</v>
      </c>
      <c r="B36" s="436">
        <v>6140</v>
      </c>
      <c r="C36" s="434">
        <v>1000</v>
      </c>
      <c r="D36" s="434">
        <v>500</v>
      </c>
      <c r="E36" s="434">
        <f t="shared" si="7"/>
        <v>500</v>
      </c>
      <c r="F36" s="434">
        <v>0</v>
      </c>
      <c r="G36" s="635">
        <f t="shared" si="8"/>
        <v>500</v>
      </c>
      <c r="H36" s="500">
        <f t="shared" si="6"/>
        <v>500</v>
      </c>
      <c r="I36" s="564">
        <f t="shared" si="9"/>
        <v>12</v>
      </c>
      <c r="J36" s="587"/>
    </row>
    <row r="37" spans="1:10" ht="15.6" thickBot="1" x14ac:dyDescent="0.3">
      <c r="A37" s="573" t="s">
        <v>60</v>
      </c>
      <c r="B37" s="574"/>
      <c r="C37" s="497">
        <f t="shared" ref="C37:D37" si="10">SUM(C28:C36)</f>
        <v>9700</v>
      </c>
      <c r="D37" s="497">
        <f t="shared" si="10"/>
        <v>7265.84</v>
      </c>
      <c r="E37" s="497">
        <f>SUM(E28:E36)</f>
        <v>7265.84</v>
      </c>
      <c r="F37" s="497">
        <f t="shared" ref="F37:H37" si="11">SUM(F28:F36)</f>
        <v>9820.11</v>
      </c>
      <c r="G37" s="497">
        <f t="shared" si="11"/>
        <v>-2554.27</v>
      </c>
      <c r="H37" s="497">
        <f t="shared" si="11"/>
        <v>-2554.27</v>
      </c>
      <c r="I37" s="564"/>
      <c r="J37" s="587"/>
    </row>
    <row r="38" spans="1:10" ht="15.6" thickBot="1" x14ac:dyDescent="0.3">
      <c r="A38" s="432"/>
      <c r="B38" s="440"/>
      <c r="C38" s="430" t="s">
        <v>131</v>
      </c>
      <c r="D38" s="430"/>
      <c r="E38" s="431"/>
      <c r="F38" s="445" t="s">
        <v>131</v>
      </c>
      <c r="G38" s="499" t="s">
        <v>131</v>
      </c>
      <c r="I38" s="564" t="s">
        <v>131</v>
      </c>
      <c r="J38" s="587"/>
    </row>
    <row r="39" spans="1:10" ht="27" thickBot="1" x14ac:dyDescent="0.3">
      <c r="A39" s="524" t="s">
        <v>546</v>
      </c>
      <c r="B39" s="525" t="s">
        <v>2</v>
      </c>
      <c r="C39" s="488" t="str">
        <f>+C27</f>
        <v>Budget 2017-18</v>
      </c>
      <c r="D39" s="488" t="s">
        <v>568</v>
      </c>
      <c r="E39" s="488" t="s">
        <v>213</v>
      </c>
      <c r="F39" s="488" t="s">
        <v>184</v>
      </c>
      <c r="G39" s="641" t="s">
        <v>216</v>
      </c>
      <c r="H39" s="575" t="s">
        <v>215</v>
      </c>
      <c r="I39" s="564" t="s">
        <v>131</v>
      </c>
      <c r="J39" s="587"/>
    </row>
    <row r="40" spans="1:10" ht="15" x14ac:dyDescent="0.25">
      <c r="A40" s="441" t="s">
        <v>178</v>
      </c>
      <c r="B40" s="442">
        <v>6000</v>
      </c>
      <c r="C40" s="527">
        <v>6866.11</v>
      </c>
      <c r="D40" s="527">
        <v>2765.84</v>
      </c>
      <c r="E40" s="434">
        <f>D40/12*I40</f>
        <v>2765.84</v>
      </c>
      <c r="F40" s="434">
        <v>3490.33</v>
      </c>
      <c r="G40" s="635">
        <f>D40-F40</f>
        <v>-724.48999999999978</v>
      </c>
      <c r="H40" s="500">
        <f>E40-F40</f>
        <v>-724.48999999999978</v>
      </c>
      <c r="I40" s="564">
        <f>I36</f>
        <v>12</v>
      </c>
      <c r="J40" s="587" t="s">
        <v>583</v>
      </c>
    </row>
    <row r="41" spans="1:10" ht="15" x14ac:dyDescent="0.25">
      <c r="A41" s="435" t="s">
        <v>34</v>
      </c>
      <c r="B41" s="436">
        <v>6040</v>
      </c>
      <c r="C41" s="527">
        <v>0</v>
      </c>
      <c r="D41" s="527">
        <v>0</v>
      </c>
      <c r="E41" s="434">
        <f t="shared" ref="E41:E63" si="12">D41/12*I41</f>
        <v>0</v>
      </c>
      <c r="F41" s="434">
        <v>0</v>
      </c>
      <c r="G41" s="635">
        <f t="shared" ref="G41:G63" si="13">D41-F41</f>
        <v>0</v>
      </c>
      <c r="H41" s="500">
        <f t="shared" ref="H41:H63" si="14">E41-F41</f>
        <v>0</v>
      </c>
      <c r="I41" s="564">
        <f>I40</f>
        <v>12</v>
      </c>
      <c r="J41" s="587"/>
    </row>
    <row r="42" spans="1:10" ht="15" x14ac:dyDescent="0.25">
      <c r="A42" s="435" t="s">
        <v>25</v>
      </c>
      <c r="B42" s="436">
        <v>6020</v>
      </c>
      <c r="C42" s="527">
        <v>4484.58</v>
      </c>
      <c r="D42" s="527">
        <v>2500</v>
      </c>
      <c r="E42" s="434">
        <f t="shared" si="12"/>
        <v>2500</v>
      </c>
      <c r="F42" s="434">
        <v>6323.05</v>
      </c>
      <c r="G42" s="635">
        <f t="shared" si="13"/>
        <v>-3823.05</v>
      </c>
      <c r="H42" s="500">
        <f t="shared" si="14"/>
        <v>-3823.05</v>
      </c>
      <c r="I42" s="564">
        <f t="shared" ref="I42:I63" si="15">I41</f>
        <v>12</v>
      </c>
      <c r="J42" s="587" t="s">
        <v>584</v>
      </c>
    </row>
    <row r="43" spans="1:10" ht="15" x14ac:dyDescent="0.25">
      <c r="A43" s="435" t="s">
        <v>287</v>
      </c>
      <c r="B43" s="436">
        <v>6026</v>
      </c>
      <c r="C43" s="527">
        <v>2664</v>
      </c>
      <c r="D43" s="527">
        <v>500</v>
      </c>
      <c r="E43" s="434">
        <f t="shared" si="12"/>
        <v>500</v>
      </c>
      <c r="F43" s="434">
        <v>0</v>
      </c>
      <c r="G43" s="635">
        <f t="shared" si="13"/>
        <v>500</v>
      </c>
      <c r="H43" s="500">
        <f t="shared" si="14"/>
        <v>500</v>
      </c>
      <c r="I43" s="564">
        <f t="shared" si="15"/>
        <v>12</v>
      </c>
      <c r="J43" s="587"/>
    </row>
    <row r="44" spans="1:10" ht="13.5" customHeight="1" x14ac:dyDescent="0.25">
      <c r="A44" s="435" t="s">
        <v>28</v>
      </c>
      <c r="B44" s="436">
        <v>6027</v>
      </c>
      <c r="C44" s="527">
        <v>0</v>
      </c>
      <c r="D44" s="527">
        <v>200</v>
      </c>
      <c r="E44" s="434">
        <f t="shared" si="12"/>
        <v>200</v>
      </c>
      <c r="F44" s="434">
        <v>800</v>
      </c>
      <c r="G44" s="635">
        <f t="shared" si="13"/>
        <v>-600</v>
      </c>
      <c r="H44" s="500">
        <f t="shared" si="14"/>
        <v>-600</v>
      </c>
      <c r="I44" s="564">
        <f t="shared" si="15"/>
        <v>12</v>
      </c>
      <c r="J44" s="587" t="s">
        <v>584</v>
      </c>
    </row>
    <row r="45" spans="1:10" ht="15" x14ac:dyDescent="0.25">
      <c r="A45" s="435" t="s">
        <v>298</v>
      </c>
      <c r="B45" s="436">
        <v>6034</v>
      </c>
      <c r="C45" s="527">
        <v>150</v>
      </c>
      <c r="D45" s="527">
        <v>100</v>
      </c>
      <c r="E45" s="434">
        <f t="shared" si="12"/>
        <v>100</v>
      </c>
      <c r="F45" s="434">
        <v>146.47</v>
      </c>
      <c r="G45" s="635">
        <f t="shared" si="13"/>
        <v>-46.47</v>
      </c>
      <c r="H45" s="500">
        <f t="shared" si="14"/>
        <v>-46.47</v>
      </c>
      <c r="I45" s="564">
        <f t="shared" si="15"/>
        <v>12</v>
      </c>
      <c r="J45" s="587"/>
    </row>
    <row r="46" spans="1:10" ht="15" x14ac:dyDescent="0.25">
      <c r="A46" s="435" t="s">
        <v>29</v>
      </c>
      <c r="B46" s="436">
        <v>6035</v>
      </c>
      <c r="C46" s="527">
        <v>150</v>
      </c>
      <c r="D46" s="527">
        <v>100</v>
      </c>
      <c r="E46" s="434">
        <f t="shared" si="12"/>
        <v>100</v>
      </c>
      <c r="F46" s="446">
        <v>218</v>
      </c>
      <c r="G46" s="635">
        <f t="shared" si="13"/>
        <v>-118</v>
      </c>
      <c r="H46" s="500">
        <f t="shared" si="14"/>
        <v>-118</v>
      </c>
      <c r="I46" s="564">
        <f t="shared" si="15"/>
        <v>12</v>
      </c>
      <c r="J46" s="587" t="s">
        <v>584</v>
      </c>
    </row>
    <row r="47" spans="1:10" ht="15" x14ac:dyDescent="0.25">
      <c r="A47" s="435" t="s">
        <v>31</v>
      </c>
      <c r="B47" s="436">
        <v>6037</v>
      </c>
      <c r="C47" s="434">
        <v>0</v>
      </c>
      <c r="D47" s="434">
        <v>0</v>
      </c>
      <c r="E47" s="434">
        <f t="shared" si="12"/>
        <v>0</v>
      </c>
      <c r="F47" s="446"/>
      <c r="G47" s="635">
        <f t="shared" si="13"/>
        <v>0</v>
      </c>
      <c r="H47" s="500">
        <f t="shared" si="14"/>
        <v>0</v>
      </c>
      <c r="I47" s="564">
        <f t="shared" si="15"/>
        <v>12</v>
      </c>
      <c r="J47" s="587"/>
    </row>
    <row r="48" spans="1:10" ht="15" x14ac:dyDescent="0.25">
      <c r="A48" s="435" t="s">
        <v>34</v>
      </c>
      <c r="B48" s="444">
        <v>6040</v>
      </c>
      <c r="C48" s="434">
        <v>180</v>
      </c>
      <c r="D48" s="434">
        <v>0</v>
      </c>
      <c r="E48" s="434">
        <v>0</v>
      </c>
      <c r="F48" s="446"/>
      <c r="G48" s="635">
        <f t="shared" si="13"/>
        <v>0</v>
      </c>
      <c r="H48" s="500">
        <f t="shared" si="14"/>
        <v>0</v>
      </c>
      <c r="I48" s="564">
        <f t="shared" si="15"/>
        <v>12</v>
      </c>
      <c r="J48" s="587"/>
    </row>
    <row r="49" spans="1:10" ht="15" x14ac:dyDescent="0.25">
      <c r="A49" s="435" t="s">
        <v>32</v>
      </c>
      <c r="B49" s="436">
        <v>6038</v>
      </c>
      <c r="C49" s="434">
        <v>0</v>
      </c>
      <c r="D49" s="434">
        <v>0</v>
      </c>
      <c r="E49" s="434">
        <f t="shared" si="12"/>
        <v>0</v>
      </c>
      <c r="F49" s="446"/>
      <c r="G49" s="635">
        <f t="shared" si="13"/>
        <v>0</v>
      </c>
      <c r="H49" s="500">
        <f t="shared" si="14"/>
        <v>0</v>
      </c>
      <c r="I49" s="564">
        <f t="shared" si="15"/>
        <v>12</v>
      </c>
      <c r="J49" s="587"/>
    </row>
    <row r="50" spans="1:10" ht="15" x14ac:dyDescent="0.25">
      <c r="A50" s="553" t="s">
        <v>33</v>
      </c>
      <c r="B50" s="554">
        <v>6039</v>
      </c>
      <c r="C50" s="637">
        <v>0</v>
      </c>
      <c r="D50" s="637">
        <v>0</v>
      </c>
      <c r="E50" s="637">
        <f t="shared" si="12"/>
        <v>0</v>
      </c>
      <c r="F50" s="642">
        <v>3926.3</v>
      </c>
      <c r="G50" s="638">
        <f t="shared" si="13"/>
        <v>-3926.3</v>
      </c>
      <c r="H50" s="639">
        <f t="shared" si="14"/>
        <v>-3926.3</v>
      </c>
      <c r="I50" s="564">
        <f t="shared" si="15"/>
        <v>12</v>
      </c>
      <c r="J50" s="587" t="s">
        <v>585</v>
      </c>
    </row>
    <row r="51" spans="1:10" ht="15" x14ac:dyDescent="0.25">
      <c r="A51" s="435" t="s">
        <v>36</v>
      </c>
      <c r="B51" s="436">
        <v>6061</v>
      </c>
      <c r="C51" s="434">
        <v>0</v>
      </c>
      <c r="D51" s="434">
        <v>400</v>
      </c>
      <c r="E51" s="434">
        <f t="shared" si="12"/>
        <v>400</v>
      </c>
      <c r="F51" s="446">
        <v>1442.7</v>
      </c>
      <c r="G51" s="635">
        <f t="shared" si="13"/>
        <v>-1042.7</v>
      </c>
      <c r="H51" s="500">
        <f t="shared" si="14"/>
        <v>-1042.7</v>
      </c>
      <c r="I51" s="564">
        <f t="shared" si="15"/>
        <v>12</v>
      </c>
      <c r="J51" s="587" t="s">
        <v>584</v>
      </c>
    </row>
    <row r="52" spans="1:10" ht="15" x14ac:dyDescent="0.25">
      <c r="A52" s="435" t="s">
        <v>296</v>
      </c>
      <c r="B52" s="436">
        <v>6045</v>
      </c>
      <c r="C52" s="434">
        <v>0</v>
      </c>
      <c r="D52" s="434">
        <v>100</v>
      </c>
      <c r="E52" s="434">
        <f t="shared" si="12"/>
        <v>100</v>
      </c>
      <c r="F52" s="446">
        <v>293.93</v>
      </c>
      <c r="G52" s="635">
        <f t="shared" si="13"/>
        <v>-193.93</v>
      </c>
      <c r="H52" s="500">
        <f t="shared" si="14"/>
        <v>-193.93</v>
      </c>
      <c r="I52" s="564">
        <f t="shared" si="15"/>
        <v>12</v>
      </c>
      <c r="J52" s="587"/>
    </row>
    <row r="53" spans="1:10" ht="15" x14ac:dyDescent="0.25">
      <c r="A53" s="435" t="s">
        <v>37</v>
      </c>
      <c r="B53" s="436">
        <v>6080</v>
      </c>
      <c r="C53" s="434">
        <v>800</v>
      </c>
      <c r="D53" s="434">
        <v>900</v>
      </c>
      <c r="E53" s="434">
        <f t="shared" si="12"/>
        <v>900</v>
      </c>
      <c r="F53" s="446">
        <v>2574</v>
      </c>
      <c r="G53" s="635">
        <f t="shared" si="13"/>
        <v>-1674</v>
      </c>
      <c r="H53" s="500">
        <f t="shared" si="14"/>
        <v>-1674</v>
      </c>
      <c r="I53" s="564">
        <f t="shared" si="15"/>
        <v>12</v>
      </c>
      <c r="J53" s="587" t="s">
        <v>584</v>
      </c>
    </row>
    <row r="54" spans="1:10" ht="15" x14ac:dyDescent="0.25">
      <c r="A54" s="435" t="s">
        <v>38</v>
      </c>
      <c r="B54" s="436">
        <v>6082</v>
      </c>
      <c r="C54" s="434">
        <v>200</v>
      </c>
      <c r="D54" s="434">
        <v>250</v>
      </c>
      <c r="E54" s="434">
        <f t="shared" si="12"/>
        <v>250</v>
      </c>
      <c r="F54" s="446"/>
      <c r="G54" s="635">
        <f t="shared" si="13"/>
        <v>250</v>
      </c>
      <c r="H54" s="500">
        <f t="shared" si="14"/>
        <v>250</v>
      </c>
      <c r="I54" s="564">
        <f t="shared" si="15"/>
        <v>12</v>
      </c>
      <c r="J54" s="587"/>
    </row>
    <row r="55" spans="1:10" ht="15" x14ac:dyDescent="0.25">
      <c r="A55" s="435" t="s">
        <v>41</v>
      </c>
      <c r="B55" s="436">
        <v>6130</v>
      </c>
      <c r="C55" s="434">
        <v>3500</v>
      </c>
      <c r="D55" s="434">
        <v>4000</v>
      </c>
      <c r="E55" s="434">
        <f t="shared" si="12"/>
        <v>4000</v>
      </c>
      <c r="F55" s="446">
        <v>4353.78</v>
      </c>
      <c r="G55" s="635">
        <f t="shared" si="13"/>
        <v>-353.77999999999975</v>
      </c>
      <c r="H55" s="500">
        <f t="shared" si="14"/>
        <v>-353.77999999999975</v>
      </c>
      <c r="I55" s="564">
        <f t="shared" si="15"/>
        <v>12</v>
      </c>
      <c r="J55" s="587"/>
    </row>
    <row r="56" spans="1:10" ht="15" x14ac:dyDescent="0.25">
      <c r="A56" s="435" t="s">
        <v>42</v>
      </c>
      <c r="B56" s="436">
        <v>6140</v>
      </c>
      <c r="C56" s="434">
        <v>177.13</v>
      </c>
      <c r="D56" s="434">
        <v>150</v>
      </c>
      <c r="E56" s="434">
        <f t="shared" si="12"/>
        <v>150</v>
      </c>
      <c r="F56" s="446">
        <v>172.33</v>
      </c>
      <c r="G56" s="635">
        <f t="shared" si="13"/>
        <v>-22.330000000000013</v>
      </c>
      <c r="H56" s="500">
        <f t="shared" si="14"/>
        <v>-22.330000000000013</v>
      </c>
      <c r="I56" s="564">
        <f t="shared" si="15"/>
        <v>12</v>
      </c>
      <c r="J56" s="587"/>
    </row>
    <row r="57" spans="1:10" ht="15" x14ac:dyDescent="0.25">
      <c r="A57" s="435" t="s">
        <v>43</v>
      </c>
      <c r="B57" s="436">
        <v>6141</v>
      </c>
      <c r="C57" s="434">
        <v>100</v>
      </c>
      <c r="D57" s="434">
        <v>0</v>
      </c>
      <c r="E57" s="434">
        <f t="shared" si="12"/>
        <v>0</v>
      </c>
      <c r="F57" s="642"/>
      <c r="G57" s="635">
        <f t="shared" si="13"/>
        <v>0</v>
      </c>
      <c r="H57" s="500">
        <f t="shared" si="14"/>
        <v>0</v>
      </c>
      <c r="I57" s="564">
        <f t="shared" si="15"/>
        <v>12</v>
      </c>
      <c r="J57" s="587"/>
    </row>
    <row r="58" spans="1:10" ht="15" x14ac:dyDescent="0.25">
      <c r="A58" s="435" t="s">
        <v>44</v>
      </c>
      <c r="B58" s="436">
        <v>6142</v>
      </c>
      <c r="C58" s="528">
        <v>50</v>
      </c>
      <c r="D58" s="528">
        <v>50</v>
      </c>
      <c r="E58" s="434">
        <f t="shared" si="12"/>
        <v>50</v>
      </c>
      <c r="F58" s="446">
        <v>35.369999999999997</v>
      </c>
      <c r="G58" s="635">
        <f t="shared" si="13"/>
        <v>14.630000000000003</v>
      </c>
      <c r="H58" s="500">
        <f t="shared" si="14"/>
        <v>14.630000000000003</v>
      </c>
      <c r="I58" s="564">
        <f t="shared" si="15"/>
        <v>12</v>
      </c>
      <c r="J58" s="587"/>
    </row>
    <row r="59" spans="1:10" ht="15" x14ac:dyDescent="0.25">
      <c r="A59" s="435" t="s">
        <v>45</v>
      </c>
      <c r="B59" s="436">
        <v>6147</v>
      </c>
      <c r="C59" s="528">
        <v>1647.31</v>
      </c>
      <c r="D59" s="528">
        <v>1250</v>
      </c>
      <c r="E59" s="434">
        <f t="shared" si="12"/>
        <v>1250</v>
      </c>
      <c r="F59" s="446">
        <v>31.56</v>
      </c>
      <c r="G59" s="635">
        <f t="shared" si="13"/>
        <v>1218.44</v>
      </c>
      <c r="H59" s="500">
        <f t="shared" si="14"/>
        <v>1218.44</v>
      </c>
      <c r="I59" s="564">
        <f t="shared" si="15"/>
        <v>12</v>
      </c>
      <c r="J59" s="587"/>
    </row>
    <row r="60" spans="1:10" ht="15" x14ac:dyDescent="0.25">
      <c r="A60" s="435" t="s">
        <v>47</v>
      </c>
      <c r="B60" s="436">
        <v>6160</v>
      </c>
      <c r="C60" s="434">
        <v>5226</v>
      </c>
      <c r="D60" s="434">
        <v>3500</v>
      </c>
      <c r="E60" s="434">
        <f t="shared" si="12"/>
        <v>3500</v>
      </c>
      <c r="F60" s="446">
        <v>3795.44</v>
      </c>
      <c r="G60" s="635">
        <f t="shared" si="13"/>
        <v>-295.44000000000005</v>
      </c>
      <c r="H60" s="500">
        <f t="shared" si="14"/>
        <v>-295.44000000000005</v>
      </c>
      <c r="I60" s="564">
        <f t="shared" si="15"/>
        <v>12</v>
      </c>
      <c r="J60" s="587"/>
    </row>
    <row r="61" spans="1:10" ht="15" x14ac:dyDescent="0.25">
      <c r="A61" s="435" t="s">
        <v>50</v>
      </c>
      <c r="B61" s="436">
        <v>6175</v>
      </c>
      <c r="C61" s="434">
        <v>1000</v>
      </c>
      <c r="D61" s="434">
        <v>1000</v>
      </c>
      <c r="E61" s="434">
        <f t="shared" si="12"/>
        <v>1000</v>
      </c>
      <c r="F61" s="446">
        <v>1628</v>
      </c>
      <c r="G61" s="635">
        <f t="shared" si="13"/>
        <v>-628</v>
      </c>
      <c r="H61" s="500">
        <f t="shared" si="14"/>
        <v>-628</v>
      </c>
      <c r="I61" s="564">
        <f t="shared" si="15"/>
        <v>12</v>
      </c>
      <c r="J61" s="587" t="s">
        <v>584</v>
      </c>
    </row>
    <row r="62" spans="1:10" ht="15" x14ac:dyDescent="0.25">
      <c r="A62" s="435" t="s">
        <v>52</v>
      </c>
      <c r="B62" s="436">
        <v>6183</v>
      </c>
      <c r="C62" s="434">
        <v>100</v>
      </c>
      <c r="D62" s="434">
        <v>100</v>
      </c>
      <c r="E62" s="434">
        <f t="shared" si="12"/>
        <v>100</v>
      </c>
      <c r="F62" s="446"/>
      <c r="G62" s="635">
        <f t="shared" si="13"/>
        <v>100</v>
      </c>
      <c r="H62" s="500">
        <f t="shared" si="14"/>
        <v>100</v>
      </c>
      <c r="I62" s="564">
        <f t="shared" si="15"/>
        <v>12</v>
      </c>
      <c r="J62" s="587"/>
    </row>
    <row r="63" spans="1:10" ht="15.6" thickBot="1" x14ac:dyDescent="0.3">
      <c r="A63" s="435" t="s">
        <v>54</v>
      </c>
      <c r="B63" s="436">
        <v>6190</v>
      </c>
      <c r="C63" s="434">
        <v>1440</v>
      </c>
      <c r="D63" s="434">
        <v>1800</v>
      </c>
      <c r="E63" s="434">
        <f t="shared" si="12"/>
        <v>1800</v>
      </c>
      <c r="F63" s="446">
        <v>1246</v>
      </c>
      <c r="G63" s="635">
        <f t="shared" si="13"/>
        <v>554</v>
      </c>
      <c r="H63" s="500">
        <f t="shared" si="14"/>
        <v>554</v>
      </c>
      <c r="I63" s="564">
        <f t="shared" si="15"/>
        <v>12</v>
      </c>
      <c r="J63" s="587"/>
    </row>
    <row r="64" spans="1:10" ht="15.6" thickBot="1" x14ac:dyDescent="0.3">
      <c r="A64" s="524" t="s">
        <v>60</v>
      </c>
      <c r="B64" s="525"/>
      <c r="C64" s="490">
        <f>SUM(C40:C63)</f>
        <v>28735.13</v>
      </c>
      <c r="D64" s="490">
        <f>SUM(D40:D63)</f>
        <v>19665.84</v>
      </c>
      <c r="E64" s="490">
        <f>SUM(E40:E63)</f>
        <v>19665.84</v>
      </c>
      <c r="F64" s="490">
        <f t="shared" ref="F64:H64" si="16">SUM(F40:F63)</f>
        <v>30477.260000000002</v>
      </c>
      <c r="G64" s="490">
        <f t="shared" si="16"/>
        <v>-10811.420000000002</v>
      </c>
      <c r="H64" s="490">
        <f t="shared" si="16"/>
        <v>-10811.420000000002</v>
      </c>
      <c r="I64" s="564"/>
      <c r="J64" s="587"/>
    </row>
    <row r="65" spans="1:10" ht="15.6" thickBot="1" x14ac:dyDescent="0.3">
      <c r="A65" s="428"/>
      <c r="B65" s="447"/>
      <c r="C65" s="448"/>
      <c r="D65" s="448"/>
      <c r="E65" s="431"/>
      <c r="F65" s="445"/>
      <c r="G65" s="499"/>
      <c r="H65" s="499"/>
      <c r="I65" s="564"/>
      <c r="J65" s="587"/>
    </row>
    <row r="66" spans="1:10" ht="27" thickBot="1" x14ac:dyDescent="0.3">
      <c r="A66" s="524" t="s">
        <v>544</v>
      </c>
      <c r="B66" s="525" t="s">
        <v>2</v>
      </c>
      <c r="C66" s="488" t="str">
        <f>+C39</f>
        <v>Budget 2017-18</v>
      </c>
      <c r="D66" s="488" t="s">
        <v>568</v>
      </c>
      <c r="E66" s="488" t="s">
        <v>213</v>
      </c>
      <c r="F66" s="488" t="s">
        <v>184</v>
      </c>
      <c r="G66" s="641" t="s">
        <v>216</v>
      </c>
      <c r="H66" s="575" t="s">
        <v>215</v>
      </c>
      <c r="I66" s="564"/>
      <c r="J66" s="587"/>
    </row>
    <row r="67" spans="1:10" ht="15" x14ac:dyDescent="0.25">
      <c r="A67" s="449"/>
      <c r="B67" s="450"/>
      <c r="C67" s="452"/>
      <c r="D67" s="451"/>
      <c r="E67" s="434"/>
      <c r="F67" s="452"/>
      <c r="G67" s="635"/>
      <c r="H67" s="504"/>
      <c r="I67" s="564"/>
      <c r="J67" s="587"/>
    </row>
    <row r="68" spans="1:10" ht="15" x14ac:dyDescent="0.25">
      <c r="A68" s="435" t="s">
        <v>538</v>
      </c>
      <c r="B68" s="436">
        <v>5002</v>
      </c>
      <c r="C68" s="529">
        <v>8065.52</v>
      </c>
      <c r="D68" s="529">
        <v>7850</v>
      </c>
      <c r="E68" s="434">
        <f>D68/12*I68</f>
        <v>7850</v>
      </c>
      <c r="F68" s="446">
        <v>9658.91</v>
      </c>
      <c r="G68" s="635">
        <f>D68-F68</f>
        <v>-1808.9099999999999</v>
      </c>
      <c r="H68" s="500">
        <f>E68-F68</f>
        <v>-1808.9099999999999</v>
      </c>
      <c r="I68" s="564">
        <f>I63</f>
        <v>12</v>
      </c>
      <c r="J68" s="587" t="s">
        <v>586</v>
      </c>
    </row>
    <row r="69" spans="1:10" ht="15" x14ac:dyDescent="0.25">
      <c r="A69" s="453" t="s">
        <v>533</v>
      </c>
      <c r="B69" s="454">
        <v>5004</v>
      </c>
      <c r="C69" s="529">
        <f>SUM(C71/100*13.8)</f>
        <v>1894.4640000000002</v>
      </c>
      <c r="D69" s="529">
        <v>1894.46</v>
      </c>
      <c r="E69" s="434">
        <f t="shared" ref="E69:E83" si="17">D69/12*I69</f>
        <v>1894.46</v>
      </c>
      <c r="F69" s="446">
        <v>717.86</v>
      </c>
      <c r="G69" s="635">
        <f t="shared" ref="G69:G83" si="18">D69-F69</f>
        <v>1176.5999999999999</v>
      </c>
      <c r="H69" s="500">
        <f t="shared" ref="H69:H83" si="19">E69-F69</f>
        <v>1176.5999999999999</v>
      </c>
      <c r="I69" s="564">
        <f>I68</f>
        <v>12</v>
      </c>
      <c r="J69" s="587"/>
    </row>
    <row r="70" spans="1:10" ht="15" x14ac:dyDescent="0.25">
      <c r="A70" s="453" t="s">
        <v>534</v>
      </c>
      <c r="B70" s="454">
        <v>5004</v>
      </c>
      <c r="C70" s="529">
        <f>SUM(C78/100*13.8)</f>
        <v>2289.0487800000005</v>
      </c>
      <c r="D70" s="529">
        <v>2289.0500000000002</v>
      </c>
      <c r="E70" s="434">
        <f t="shared" si="17"/>
        <v>2289.0500000000002</v>
      </c>
      <c r="F70" s="446">
        <v>1062.04</v>
      </c>
      <c r="G70" s="635">
        <f t="shared" si="18"/>
        <v>1227.0100000000002</v>
      </c>
      <c r="H70" s="500">
        <f t="shared" si="19"/>
        <v>1227.0100000000002</v>
      </c>
      <c r="I70" s="564">
        <f t="shared" ref="I70:I83" si="20">I69</f>
        <v>12</v>
      </c>
      <c r="J70" s="587"/>
    </row>
    <row r="71" spans="1:10" ht="15" x14ac:dyDescent="0.25">
      <c r="A71" s="453" t="s">
        <v>529</v>
      </c>
      <c r="B71" s="454">
        <v>5005</v>
      </c>
      <c r="C71" s="529">
        <v>13728</v>
      </c>
      <c r="D71" s="529">
        <v>12728</v>
      </c>
      <c r="E71" s="434">
        <f t="shared" si="17"/>
        <v>12728</v>
      </c>
      <c r="F71" s="446">
        <v>13810.73</v>
      </c>
      <c r="G71" s="635">
        <f t="shared" si="18"/>
        <v>-1082.7299999999996</v>
      </c>
      <c r="H71" s="500">
        <f t="shared" si="19"/>
        <v>-1082.7299999999996</v>
      </c>
      <c r="I71" s="564">
        <f t="shared" si="20"/>
        <v>12</v>
      </c>
      <c r="J71" s="587"/>
    </row>
    <row r="72" spans="1:10" ht="15" x14ac:dyDescent="0.25">
      <c r="A72" s="453" t="s">
        <v>530</v>
      </c>
      <c r="B72" s="454">
        <v>5003</v>
      </c>
      <c r="C72" s="446">
        <v>1320</v>
      </c>
      <c r="D72" s="446">
        <v>1320</v>
      </c>
      <c r="E72" s="434">
        <f t="shared" si="17"/>
        <v>1320</v>
      </c>
      <c r="F72" s="446">
        <v>3230.72</v>
      </c>
      <c r="G72" s="635">
        <f t="shared" si="18"/>
        <v>-1910.7199999999998</v>
      </c>
      <c r="H72" s="500">
        <f t="shared" si="19"/>
        <v>-1910.7199999999998</v>
      </c>
      <c r="I72" s="564">
        <f t="shared" si="20"/>
        <v>12</v>
      </c>
      <c r="J72" s="587" t="s">
        <v>584</v>
      </c>
    </row>
    <row r="73" spans="1:10" ht="15" x14ac:dyDescent="0.25">
      <c r="A73" s="453" t="s">
        <v>535</v>
      </c>
      <c r="B73" s="454">
        <v>50031</v>
      </c>
      <c r="C73" s="446">
        <v>1925</v>
      </c>
      <c r="D73" s="446">
        <v>1000</v>
      </c>
      <c r="E73" s="434">
        <f t="shared" si="17"/>
        <v>1000</v>
      </c>
      <c r="F73" s="446">
        <v>1322.72</v>
      </c>
      <c r="G73" s="635">
        <f t="shared" si="18"/>
        <v>-322.72000000000003</v>
      </c>
      <c r="H73" s="500">
        <f t="shared" si="19"/>
        <v>-322.72000000000003</v>
      </c>
      <c r="I73" s="564">
        <f t="shared" si="20"/>
        <v>12</v>
      </c>
      <c r="J73" s="587" t="s">
        <v>584</v>
      </c>
    </row>
    <row r="74" spans="1:10" ht="15" x14ac:dyDescent="0.25">
      <c r="A74" s="435" t="s">
        <v>536</v>
      </c>
      <c r="B74" s="454">
        <v>5020</v>
      </c>
      <c r="C74" s="446">
        <f>SUM(C71/100*2)</f>
        <v>274.56</v>
      </c>
      <c r="D74" s="446">
        <v>274.56</v>
      </c>
      <c r="E74" s="434">
        <f t="shared" si="17"/>
        <v>274.56</v>
      </c>
      <c r="F74" s="446">
        <v>161.28</v>
      </c>
      <c r="G74" s="635">
        <f t="shared" si="18"/>
        <v>113.28</v>
      </c>
      <c r="H74" s="500">
        <f t="shared" si="19"/>
        <v>113.28</v>
      </c>
      <c r="I74" s="564">
        <f t="shared" si="20"/>
        <v>12</v>
      </c>
      <c r="J74" s="587"/>
    </row>
    <row r="75" spans="1:10" ht="15" x14ac:dyDescent="0.25">
      <c r="A75" s="435" t="s">
        <v>537</v>
      </c>
      <c r="B75" s="454">
        <v>5020</v>
      </c>
      <c r="C75" s="446">
        <f>SUM(C78/100*2)</f>
        <v>331.74620000000004</v>
      </c>
      <c r="D75" s="446">
        <v>331.75</v>
      </c>
      <c r="E75" s="434">
        <f t="shared" si="17"/>
        <v>331.75</v>
      </c>
      <c r="F75" s="446">
        <v>215.68</v>
      </c>
      <c r="G75" s="635">
        <f t="shared" si="18"/>
        <v>116.07</v>
      </c>
      <c r="H75" s="500">
        <f t="shared" si="19"/>
        <v>116.07</v>
      </c>
      <c r="I75" s="564">
        <f t="shared" si="20"/>
        <v>12</v>
      </c>
      <c r="J75" s="587"/>
    </row>
    <row r="76" spans="1:10" ht="15" x14ac:dyDescent="0.25">
      <c r="A76" s="435" t="s">
        <v>62</v>
      </c>
      <c r="B76" s="436">
        <v>5030</v>
      </c>
      <c r="C76" s="446">
        <v>1000</v>
      </c>
      <c r="D76" s="446">
        <v>0</v>
      </c>
      <c r="E76" s="434">
        <f t="shared" si="17"/>
        <v>0</v>
      </c>
      <c r="F76" s="446"/>
      <c r="G76" s="635">
        <f t="shared" si="18"/>
        <v>0</v>
      </c>
      <c r="H76" s="500">
        <f t="shared" si="19"/>
        <v>0</v>
      </c>
      <c r="I76" s="564">
        <f t="shared" si="20"/>
        <v>12</v>
      </c>
      <c r="J76" s="587"/>
    </row>
    <row r="77" spans="1:10" ht="15" hidden="1" customHeight="1" x14ac:dyDescent="0.25">
      <c r="A77" s="455" t="s">
        <v>531</v>
      </c>
      <c r="B77" s="456">
        <v>5042</v>
      </c>
      <c r="C77" s="530"/>
      <c r="D77" s="530"/>
      <c r="E77" s="434">
        <f t="shared" si="17"/>
        <v>0</v>
      </c>
      <c r="F77" s="458"/>
      <c r="G77" s="635">
        <f t="shared" si="18"/>
        <v>0</v>
      </c>
      <c r="H77" s="500">
        <f t="shared" si="19"/>
        <v>0</v>
      </c>
      <c r="I77" s="564">
        <f t="shared" si="20"/>
        <v>12</v>
      </c>
      <c r="J77" s="587"/>
    </row>
    <row r="78" spans="1:10" ht="15" x14ac:dyDescent="0.25">
      <c r="A78" s="435" t="s">
        <v>63</v>
      </c>
      <c r="B78" s="436">
        <v>5043</v>
      </c>
      <c r="C78" s="531">
        <v>16587.310000000001</v>
      </c>
      <c r="D78" s="531">
        <v>16587.310000000001</v>
      </c>
      <c r="E78" s="434">
        <f t="shared" si="17"/>
        <v>16587.310000000001</v>
      </c>
      <c r="F78" s="446">
        <v>16713.02</v>
      </c>
      <c r="G78" s="635">
        <f t="shared" si="18"/>
        <v>-125.70999999999913</v>
      </c>
      <c r="H78" s="500">
        <f t="shared" si="19"/>
        <v>-125.70999999999913</v>
      </c>
      <c r="I78" s="564">
        <f t="shared" si="20"/>
        <v>12</v>
      </c>
      <c r="J78" s="587"/>
    </row>
    <row r="79" spans="1:10" ht="15" hidden="1" customHeight="1" x14ac:dyDescent="0.25">
      <c r="A79" s="455" t="s">
        <v>532</v>
      </c>
      <c r="B79" s="456">
        <v>5045</v>
      </c>
      <c r="C79" s="530"/>
      <c r="D79" s="530"/>
      <c r="E79" s="434">
        <f t="shared" si="17"/>
        <v>0</v>
      </c>
      <c r="F79" s="458"/>
      <c r="G79" s="635">
        <f t="shared" si="18"/>
        <v>0</v>
      </c>
      <c r="H79" s="500">
        <f t="shared" si="19"/>
        <v>0</v>
      </c>
      <c r="I79" s="564">
        <f t="shared" si="20"/>
        <v>12</v>
      </c>
      <c r="J79" s="587"/>
    </row>
    <row r="80" spans="1:10" ht="15" x14ac:dyDescent="0.25">
      <c r="A80" s="435" t="s">
        <v>65</v>
      </c>
      <c r="B80" s="436">
        <v>8050</v>
      </c>
      <c r="C80" s="531">
        <v>1500</v>
      </c>
      <c r="D80" s="531">
        <v>1000</v>
      </c>
      <c r="E80" s="434">
        <f t="shared" si="17"/>
        <v>1000</v>
      </c>
      <c r="F80" s="446">
        <v>180</v>
      </c>
      <c r="G80" s="635">
        <f t="shared" si="18"/>
        <v>820</v>
      </c>
      <c r="H80" s="500">
        <f t="shared" si="19"/>
        <v>820</v>
      </c>
      <c r="I80" s="564">
        <f t="shared" si="20"/>
        <v>12</v>
      </c>
      <c r="J80" s="587"/>
    </row>
    <row r="81" spans="1:10" ht="15" x14ac:dyDescent="0.25">
      <c r="A81" s="435" t="s">
        <v>93</v>
      </c>
      <c r="B81" s="436">
        <v>8056</v>
      </c>
      <c r="C81" s="531">
        <v>1000</v>
      </c>
      <c r="D81" s="531">
        <v>1000</v>
      </c>
      <c r="E81" s="434">
        <f t="shared" si="17"/>
        <v>1000</v>
      </c>
      <c r="F81" s="446"/>
      <c r="G81" s="635">
        <f t="shared" si="18"/>
        <v>1000</v>
      </c>
      <c r="H81" s="500">
        <f t="shared" si="19"/>
        <v>1000</v>
      </c>
      <c r="I81" s="564">
        <f t="shared" si="20"/>
        <v>12</v>
      </c>
      <c r="J81" s="587"/>
    </row>
    <row r="82" spans="1:10" ht="15" x14ac:dyDescent="0.25">
      <c r="A82" s="435" t="s">
        <v>66</v>
      </c>
      <c r="B82" s="436">
        <v>7120</v>
      </c>
      <c r="C82" s="446">
        <v>50</v>
      </c>
      <c r="D82" s="446">
        <v>50</v>
      </c>
      <c r="E82" s="434">
        <f t="shared" si="17"/>
        <v>50</v>
      </c>
      <c r="F82" s="446"/>
      <c r="G82" s="635">
        <f t="shared" si="18"/>
        <v>50</v>
      </c>
      <c r="H82" s="500">
        <f t="shared" si="19"/>
        <v>50</v>
      </c>
      <c r="I82" s="564">
        <f t="shared" si="20"/>
        <v>12</v>
      </c>
      <c r="J82" s="587"/>
    </row>
    <row r="83" spans="1:10" ht="15.6" thickBot="1" x14ac:dyDescent="0.3">
      <c r="A83" s="432" t="s">
        <v>572</v>
      </c>
      <c r="B83" s="440"/>
      <c r="C83" s="643"/>
      <c r="D83" s="482">
        <v>2000</v>
      </c>
      <c r="E83" s="434">
        <f t="shared" si="17"/>
        <v>2000</v>
      </c>
      <c r="F83" s="430"/>
      <c r="G83" s="635">
        <f t="shared" si="18"/>
        <v>2000</v>
      </c>
      <c r="H83" s="500">
        <f t="shared" si="19"/>
        <v>2000</v>
      </c>
      <c r="I83" s="564">
        <f t="shared" si="20"/>
        <v>12</v>
      </c>
      <c r="J83" s="587"/>
    </row>
    <row r="84" spans="1:10" ht="15.6" thickBot="1" x14ac:dyDescent="0.3">
      <c r="A84" s="524" t="s">
        <v>60</v>
      </c>
      <c r="B84" s="525"/>
      <c r="C84" s="644">
        <f t="shared" ref="C84:H84" si="21">SUM(C68:C83)</f>
        <v>49965.648980000005</v>
      </c>
      <c r="D84" s="644">
        <f t="shared" si="21"/>
        <v>48325.130000000005</v>
      </c>
      <c r="E84" s="644">
        <f t="shared" si="21"/>
        <v>48325.130000000005</v>
      </c>
      <c r="F84" s="644">
        <f t="shared" si="21"/>
        <v>47072.960000000006</v>
      </c>
      <c r="G84" s="644">
        <f t="shared" si="21"/>
        <v>1252.1700000000019</v>
      </c>
      <c r="H84" s="644">
        <f t="shared" si="21"/>
        <v>1252.1700000000019</v>
      </c>
      <c r="I84" s="564"/>
      <c r="J84" s="587"/>
    </row>
    <row r="85" spans="1:10" ht="15.6" thickBot="1" x14ac:dyDescent="0.3">
      <c r="A85" s="428"/>
      <c r="B85" s="447"/>
      <c r="C85" s="448"/>
      <c r="D85" s="448"/>
      <c r="E85" s="585"/>
      <c r="F85" s="445"/>
      <c r="G85" s="586"/>
      <c r="I85" s="564"/>
      <c r="J85" s="587"/>
    </row>
    <row r="86" spans="1:10" ht="27" thickBot="1" x14ac:dyDescent="0.3">
      <c r="A86" s="532" t="s">
        <v>545</v>
      </c>
      <c r="B86" s="533" t="s">
        <v>2</v>
      </c>
      <c r="C86" s="645" t="str">
        <f>+C66</f>
        <v>Budget 2017-18</v>
      </c>
      <c r="D86" s="629" t="s">
        <v>568</v>
      </c>
      <c r="E86" s="629" t="s">
        <v>213</v>
      </c>
      <c r="F86" s="645" t="s">
        <v>184</v>
      </c>
      <c r="G86" s="646" t="s">
        <v>216</v>
      </c>
      <c r="H86" s="576" t="s">
        <v>215</v>
      </c>
      <c r="I86" s="564"/>
      <c r="J86" s="587"/>
    </row>
    <row r="87" spans="1:10" ht="15" x14ac:dyDescent="0.25">
      <c r="A87" s="435" t="s">
        <v>67</v>
      </c>
      <c r="B87" s="436">
        <v>7000</v>
      </c>
      <c r="C87" s="534">
        <v>3500</v>
      </c>
      <c r="D87" s="534">
        <v>3500</v>
      </c>
      <c r="E87" s="434">
        <f>D87/12*I87</f>
        <v>3500</v>
      </c>
      <c r="F87" s="647">
        <v>3500</v>
      </c>
      <c r="G87" s="635">
        <f>D87-F87</f>
        <v>0</v>
      </c>
      <c r="H87" s="500">
        <f>E87-F87</f>
        <v>0</v>
      </c>
      <c r="I87" s="564">
        <f>I83</f>
        <v>12</v>
      </c>
      <c r="J87" s="587"/>
    </row>
    <row r="88" spans="1:10" ht="15" x14ac:dyDescent="0.25">
      <c r="A88" s="435" t="s">
        <v>68</v>
      </c>
      <c r="B88" s="436">
        <v>7001</v>
      </c>
      <c r="C88" s="534">
        <v>120</v>
      </c>
      <c r="D88" s="534">
        <v>145</v>
      </c>
      <c r="E88" s="434">
        <f t="shared" ref="E88:E112" si="22">D88/12*I88</f>
        <v>145</v>
      </c>
      <c r="F88" s="647">
        <v>249.14</v>
      </c>
      <c r="G88" s="635">
        <f t="shared" ref="G88:G112" si="23">D88-F88</f>
        <v>-104.13999999999999</v>
      </c>
      <c r="H88" s="500">
        <f t="shared" ref="H88:H112" si="24">E88-F88</f>
        <v>-104.13999999999999</v>
      </c>
      <c r="I88" s="564">
        <f>I87</f>
        <v>12</v>
      </c>
      <c r="J88" s="587"/>
    </row>
    <row r="89" spans="1:10" ht="15" x14ac:dyDescent="0.25">
      <c r="A89" s="435" t="s">
        <v>69</v>
      </c>
      <c r="B89" s="436">
        <v>7002</v>
      </c>
      <c r="C89" s="534">
        <v>727.61</v>
      </c>
      <c r="D89" s="534">
        <v>771</v>
      </c>
      <c r="E89" s="434">
        <f t="shared" si="22"/>
        <v>771</v>
      </c>
      <c r="F89" s="647">
        <f>1335.98-675.36</f>
        <v>660.62</v>
      </c>
      <c r="G89" s="635">
        <f t="shared" si="23"/>
        <v>110.38</v>
      </c>
      <c r="H89" s="500">
        <f t="shared" si="24"/>
        <v>110.38</v>
      </c>
      <c r="I89" s="564">
        <f t="shared" ref="I89:I112" si="25">I88</f>
        <v>12</v>
      </c>
      <c r="J89" s="587" t="s">
        <v>587</v>
      </c>
    </row>
    <row r="90" spans="1:10" ht="15" x14ac:dyDescent="0.25">
      <c r="A90" s="435" t="s">
        <v>70</v>
      </c>
      <c r="B90" s="436">
        <v>7010</v>
      </c>
      <c r="C90" s="534">
        <v>1977</v>
      </c>
      <c r="D90" s="534">
        <v>1825</v>
      </c>
      <c r="E90" s="434">
        <f t="shared" si="22"/>
        <v>1825</v>
      </c>
      <c r="F90" s="647">
        <v>1792.59</v>
      </c>
      <c r="G90" s="635">
        <f t="shared" si="23"/>
        <v>32.410000000000082</v>
      </c>
      <c r="H90" s="500">
        <f t="shared" si="24"/>
        <v>32.410000000000082</v>
      </c>
      <c r="I90" s="564">
        <f t="shared" si="25"/>
        <v>12</v>
      </c>
      <c r="J90" s="587"/>
    </row>
    <row r="91" spans="1:10" ht="15" x14ac:dyDescent="0.25">
      <c r="A91" s="435" t="s">
        <v>71</v>
      </c>
      <c r="B91" s="436">
        <v>7020</v>
      </c>
      <c r="C91" s="534">
        <v>1465.93</v>
      </c>
      <c r="D91" s="534">
        <v>1592.77</v>
      </c>
      <c r="E91" s="434">
        <f t="shared" si="22"/>
        <v>1592.77</v>
      </c>
      <c r="F91" s="647">
        <v>2087.42</v>
      </c>
      <c r="G91" s="635">
        <f t="shared" si="23"/>
        <v>-494.65000000000009</v>
      </c>
      <c r="H91" s="500">
        <f t="shared" si="24"/>
        <v>-494.65000000000009</v>
      </c>
      <c r="I91" s="564">
        <f t="shared" si="25"/>
        <v>12</v>
      </c>
      <c r="J91" s="587" t="s">
        <v>584</v>
      </c>
    </row>
    <row r="92" spans="1:10" ht="15" x14ac:dyDescent="0.25">
      <c r="A92" s="435" t="s">
        <v>569</v>
      </c>
      <c r="B92" s="436">
        <v>7021</v>
      </c>
      <c r="C92" s="534">
        <v>300</v>
      </c>
      <c r="D92" s="534">
        <v>250</v>
      </c>
      <c r="E92" s="434">
        <f t="shared" si="22"/>
        <v>250</v>
      </c>
      <c r="F92" s="647">
        <v>0</v>
      </c>
      <c r="G92" s="635">
        <f t="shared" si="23"/>
        <v>250</v>
      </c>
      <c r="H92" s="500">
        <f t="shared" si="24"/>
        <v>250</v>
      </c>
      <c r="I92" s="564">
        <f t="shared" si="25"/>
        <v>12</v>
      </c>
      <c r="J92" s="587"/>
    </row>
    <row r="93" spans="1:10" ht="15" x14ac:dyDescent="0.25">
      <c r="A93" s="435" t="s">
        <v>570</v>
      </c>
      <c r="B93" s="436" t="s">
        <v>576</v>
      </c>
      <c r="C93" s="534"/>
      <c r="D93" s="534">
        <v>560</v>
      </c>
      <c r="E93" s="434">
        <f t="shared" si="22"/>
        <v>560</v>
      </c>
      <c r="F93" s="647">
        <f>469+171.27</f>
        <v>640.27</v>
      </c>
      <c r="G93" s="635">
        <f t="shared" si="23"/>
        <v>-80.269999999999982</v>
      </c>
      <c r="H93" s="500">
        <f t="shared" si="24"/>
        <v>-80.269999999999982</v>
      </c>
      <c r="I93" s="564">
        <f t="shared" si="25"/>
        <v>12</v>
      </c>
      <c r="J93" s="587"/>
    </row>
    <row r="94" spans="1:10" ht="15" x14ac:dyDescent="0.25">
      <c r="A94" s="435" t="s">
        <v>72</v>
      </c>
      <c r="B94" s="436">
        <v>7030</v>
      </c>
      <c r="C94" s="534">
        <v>400</v>
      </c>
      <c r="D94" s="534">
        <v>200</v>
      </c>
      <c r="E94" s="434">
        <f t="shared" si="22"/>
        <v>200</v>
      </c>
      <c r="F94" s="647">
        <v>128.69999999999999</v>
      </c>
      <c r="G94" s="635">
        <f t="shared" si="23"/>
        <v>71.300000000000011</v>
      </c>
      <c r="H94" s="500">
        <f t="shared" si="24"/>
        <v>71.300000000000011</v>
      </c>
      <c r="I94" s="564">
        <f t="shared" si="25"/>
        <v>12</v>
      </c>
      <c r="J94" s="587"/>
    </row>
    <row r="95" spans="1:10" ht="15" x14ac:dyDescent="0.25">
      <c r="A95" s="435" t="s">
        <v>73</v>
      </c>
      <c r="B95" s="436">
        <v>7031</v>
      </c>
      <c r="C95" s="534">
        <v>2579.58</v>
      </c>
      <c r="D95" s="534">
        <v>200</v>
      </c>
      <c r="E95" s="434">
        <f t="shared" si="22"/>
        <v>200</v>
      </c>
      <c r="F95" s="647">
        <v>1362.81</v>
      </c>
      <c r="G95" s="635">
        <f t="shared" si="23"/>
        <v>-1162.81</v>
      </c>
      <c r="H95" s="500">
        <f t="shared" si="24"/>
        <v>-1162.81</v>
      </c>
      <c r="I95" s="564">
        <f t="shared" si="25"/>
        <v>12</v>
      </c>
      <c r="J95" s="587" t="s">
        <v>584</v>
      </c>
    </row>
    <row r="96" spans="1:10" ht="15" x14ac:dyDescent="0.25">
      <c r="A96" s="435" t="s">
        <v>74</v>
      </c>
      <c r="B96" s="436">
        <v>7032</v>
      </c>
      <c r="C96" s="534">
        <v>638.22</v>
      </c>
      <c r="D96" s="534">
        <v>400</v>
      </c>
      <c r="E96" s="434">
        <f t="shared" si="22"/>
        <v>400</v>
      </c>
      <c r="F96" s="647">
        <v>426.51</v>
      </c>
      <c r="G96" s="635">
        <f t="shared" si="23"/>
        <v>-26.509999999999991</v>
      </c>
      <c r="H96" s="500">
        <f t="shared" si="24"/>
        <v>-26.509999999999991</v>
      </c>
      <c r="I96" s="564">
        <f t="shared" si="25"/>
        <v>12</v>
      </c>
      <c r="J96" s="587"/>
    </row>
    <row r="97" spans="1:10" ht="15" x14ac:dyDescent="0.25">
      <c r="A97" s="435" t="s">
        <v>571</v>
      </c>
      <c r="B97" s="436"/>
      <c r="C97" s="534"/>
      <c r="D97" s="534">
        <v>640</v>
      </c>
      <c r="E97" s="434">
        <f t="shared" si="22"/>
        <v>640</v>
      </c>
      <c r="F97" s="647">
        <v>0</v>
      </c>
      <c r="G97" s="635">
        <f t="shared" si="23"/>
        <v>640</v>
      </c>
      <c r="H97" s="500">
        <f t="shared" si="24"/>
        <v>640</v>
      </c>
      <c r="I97" s="564">
        <f t="shared" si="25"/>
        <v>12</v>
      </c>
      <c r="J97" s="587"/>
    </row>
    <row r="98" spans="1:10" ht="15" x14ac:dyDescent="0.25">
      <c r="A98" s="435" t="s">
        <v>76</v>
      </c>
      <c r="B98" s="436">
        <v>7040</v>
      </c>
      <c r="C98" s="434">
        <v>0</v>
      </c>
      <c r="D98" s="434">
        <v>500</v>
      </c>
      <c r="E98" s="434">
        <f t="shared" si="22"/>
        <v>500</v>
      </c>
      <c r="F98" s="647">
        <v>0</v>
      </c>
      <c r="G98" s="635">
        <f t="shared" si="23"/>
        <v>500</v>
      </c>
      <c r="H98" s="500">
        <f t="shared" si="24"/>
        <v>500</v>
      </c>
      <c r="I98" s="564">
        <f t="shared" si="25"/>
        <v>12</v>
      </c>
      <c r="J98" s="587"/>
    </row>
    <row r="99" spans="1:10" ht="15" x14ac:dyDescent="0.25">
      <c r="A99" s="435" t="s">
        <v>78</v>
      </c>
      <c r="B99" s="436">
        <v>7060</v>
      </c>
      <c r="C99" s="434">
        <v>200</v>
      </c>
      <c r="D99" s="434">
        <v>300</v>
      </c>
      <c r="E99" s="434">
        <f t="shared" si="22"/>
        <v>300</v>
      </c>
      <c r="F99" s="647">
        <v>0</v>
      </c>
      <c r="G99" s="635">
        <f t="shared" si="23"/>
        <v>300</v>
      </c>
      <c r="H99" s="500">
        <f t="shared" si="24"/>
        <v>300</v>
      </c>
      <c r="I99" s="564">
        <f t="shared" si="25"/>
        <v>12</v>
      </c>
      <c r="J99" s="587"/>
    </row>
    <row r="100" spans="1:10" ht="15" x14ac:dyDescent="0.25">
      <c r="A100" s="435" t="s">
        <v>80</v>
      </c>
      <c r="B100" s="436">
        <v>7070</v>
      </c>
      <c r="C100" s="535">
        <v>1888.55</v>
      </c>
      <c r="D100" s="535">
        <v>760.92</v>
      </c>
      <c r="E100" s="434">
        <f t="shared" si="22"/>
        <v>760.92</v>
      </c>
      <c r="F100" s="647">
        <v>1359.71</v>
      </c>
      <c r="G100" s="635">
        <f t="shared" si="23"/>
        <v>-598.79000000000008</v>
      </c>
      <c r="H100" s="500">
        <f t="shared" si="24"/>
        <v>-598.79000000000008</v>
      </c>
      <c r="I100" s="564">
        <f t="shared" si="25"/>
        <v>12</v>
      </c>
      <c r="J100" s="587"/>
    </row>
    <row r="101" spans="1:10" ht="15" x14ac:dyDescent="0.25">
      <c r="A101" s="435" t="s">
        <v>81</v>
      </c>
      <c r="B101" s="436">
        <v>7075</v>
      </c>
      <c r="C101" s="535">
        <v>0</v>
      </c>
      <c r="D101" s="535">
        <v>453.12</v>
      </c>
      <c r="E101" s="434">
        <f t="shared" si="22"/>
        <v>453.12</v>
      </c>
      <c r="F101" s="647">
        <v>47.55</v>
      </c>
      <c r="G101" s="635">
        <f t="shared" si="23"/>
        <v>405.57</v>
      </c>
      <c r="H101" s="500">
        <f t="shared" si="24"/>
        <v>405.57</v>
      </c>
      <c r="I101" s="564">
        <f t="shared" si="25"/>
        <v>12</v>
      </c>
      <c r="J101" s="587"/>
    </row>
    <row r="102" spans="1:10" ht="15" x14ac:dyDescent="0.25">
      <c r="A102" s="435" t="s">
        <v>82</v>
      </c>
      <c r="B102" s="436">
        <v>7080</v>
      </c>
      <c r="C102" s="535">
        <v>0</v>
      </c>
      <c r="D102" s="535">
        <v>0</v>
      </c>
      <c r="E102" s="434">
        <f t="shared" si="22"/>
        <v>0</v>
      </c>
      <c r="F102" s="647">
        <v>0</v>
      </c>
      <c r="G102" s="635">
        <f t="shared" si="23"/>
        <v>0</v>
      </c>
      <c r="H102" s="500">
        <f t="shared" si="24"/>
        <v>0</v>
      </c>
      <c r="I102" s="564">
        <f t="shared" si="25"/>
        <v>12</v>
      </c>
      <c r="J102" s="587"/>
    </row>
    <row r="103" spans="1:10" ht="15" x14ac:dyDescent="0.25">
      <c r="A103" s="435" t="s">
        <v>83</v>
      </c>
      <c r="B103" s="436">
        <v>7130</v>
      </c>
      <c r="C103" s="535">
        <v>100</v>
      </c>
      <c r="D103" s="535">
        <v>0</v>
      </c>
      <c r="E103" s="434">
        <f t="shared" si="22"/>
        <v>0</v>
      </c>
      <c r="F103" s="647">
        <v>0</v>
      </c>
      <c r="G103" s="635">
        <f t="shared" si="23"/>
        <v>0</v>
      </c>
      <c r="H103" s="500">
        <f t="shared" si="24"/>
        <v>0</v>
      </c>
      <c r="I103" s="564">
        <f t="shared" si="25"/>
        <v>12</v>
      </c>
      <c r="J103" s="587"/>
    </row>
    <row r="104" spans="1:10" ht="15" x14ac:dyDescent="0.25">
      <c r="A104" s="435" t="s">
        <v>84</v>
      </c>
      <c r="B104" s="436">
        <v>7131</v>
      </c>
      <c r="C104" s="535">
        <v>100</v>
      </c>
      <c r="D104" s="535">
        <v>0</v>
      </c>
      <c r="E104" s="434">
        <f t="shared" si="22"/>
        <v>0</v>
      </c>
      <c r="F104" s="647">
        <v>0</v>
      </c>
      <c r="G104" s="635">
        <f t="shared" si="23"/>
        <v>0</v>
      </c>
      <c r="H104" s="500">
        <f t="shared" si="24"/>
        <v>0</v>
      </c>
      <c r="I104" s="564">
        <f t="shared" si="25"/>
        <v>12</v>
      </c>
      <c r="J104" s="587"/>
    </row>
    <row r="105" spans="1:10" ht="15" x14ac:dyDescent="0.25">
      <c r="A105" s="435" t="s">
        <v>85</v>
      </c>
      <c r="B105" s="436">
        <v>7150</v>
      </c>
      <c r="C105" s="535">
        <v>100</v>
      </c>
      <c r="D105" s="535">
        <v>100</v>
      </c>
      <c r="E105" s="434">
        <f t="shared" si="22"/>
        <v>100</v>
      </c>
      <c r="F105" s="647">
        <v>-72</v>
      </c>
      <c r="G105" s="635">
        <f t="shared" si="23"/>
        <v>172</v>
      </c>
      <c r="H105" s="500">
        <f t="shared" si="24"/>
        <v>172</v>
      </c>
      <c r="I105" s="564">
        <f t="shared" si="25"/>
        <v>12</v>
      </c>
      <c r="J105" s="587"/>
    </row>
    <row r="106" spans="1:10" ht="15" x14ac:dyDescent="0.25">
      <c r="A106" s="435" t="s">
        <v>86</v>
      </c>
      <c r="B106" s="436">
        <v>7160</v>
      </c>
      <c r="C106" s="535">
        <v>100</v>
      </c>
      <c r="D106" s="535">
        <v>100</v>
      </c>
      <c r="E106" s="434">
        <f t="shared" si="22"/>
        <v>100</v>
      </c>
      <c r="F106" s="647">
        <v>0</v>
      </c>
      <c r="G106" s="635">
        <f t="shared" si="23"/>
        <v>100</v>
      </c>
      <c r="H106" s="500">
        <f t="shared" si="24"/>
        <v>100</v>
      </c>
      <c r="I106" s="564">
        <f t="shared" si="25"/>
        <v>12</v>
      </c>
      <c r="J106" s="587"/>
    </row>
    <row r="107" spans="1:10" ht="15" x14ac:dyDescent="0.25">
      <c r="A107" s="435" t="s">
        <v>87</v>
      </c>
      <c r="B107" s="436">
        <v>8000</v>
      </c>
      <c r="C107" s="535">
        <v>2500</v>
      </c>
      <c r="D107" s="535">
        <v>1500</v>
      </c>
      <c r="E107" s="434">
        <f t="shared" si="22"/>
        <v>1500</v>
      </c>
      <c r="F107" s="647">
        <v>0</v>
      </c>
      <c r="G107" s="635">
        <f t="shared" si="23"/>
        <v>1500</v>
      </c>
      <c r="H107" s="500">
        <f t="shared" si="24"/>
        <v>1500</v>
      </c>
      <c r="I107" s="564">
        <f t="shared" si="25"/>
        <v>12</v>
      </c>
      <c r="J107" s="587"/>
    </row>
    <row r="108" spans="1:10" ht="15" x14ac:dyDescent="0.25">
      <c r="A108" s="435" t="s">
        <v>88</v>
      </c>
      <c r="B108" s="436">
        <v>8010</v>
      </c>
      <c r="C108" s="535">
        <v>828.48</v>
      </c>
      <c r="D108" s="535">
        <v>915</v>
      </c>
      <c r="E108" s="434">
        <f t="shared" si="22"/>
        <v>915</v>
      </c>
      <c r="F108" s="647">
        <v>764.01</v>
      </c>
      <c r="G108" s="635">
        <f t="shared" si="23"/>
        <v>150.99</v>
      </c>
      <c r="H108" s="500">
        <f t="shared" si="24"/>
        <v>150.99</v>
      </c>
      <c r="I108" s="564">
        <f t="shared" si="25"/>
        <v>12</v>
      </c>
      <c r="J108" s="587"/>
    </row>
    <row r="109" spans="1:10" ht="15" x14ac:dyDescent="0.25">
      <c r="A109" s="435" t="s">
        <v>89</v>
      </c>
      <c r="B109" s="436">
        <v>8018</v>
      </c>
      <c r="C109" s="535">
        <v>235</v>
      </c>
      <c r="D109" s="535">
        <v>125</v>
      </c>
      <c r="E109" s="434">
        <f t="shared" si="22"/>
        <v>125</v>
      </c>
      <c r="F109" s="647">
        <v>149.75</v>
      </c>
      <c r="G109" s="635">
        <f t="shared" si="23"/>
        <v>-24.75</v>
      </c>
      <c r="H109" s="500">
        <f t="shared" si="24"/>
        <v>-24.75</v>
      </c>
      <c r="I109" s="564">
        <f t="shared" si="25"/>
        <v>12</v>
      </c>
      <c r="J109" s="587"/>
    </row>
    <row r="110" spans="1:10" ht="15" x14ac:dyDescent="0.25">
      <c r="A110" s="435" t="s">
        <v>299</v>
      </c>
      <c r="B110" s="436">
        <v>8020</v>
      </c>
      <c r="C110" s="535">
        <v>0</v>
      </c>
      <c r="D110" s="535"/>
      <c r="E110" s="434">
        <f t="shared" si="22"/>
        <v>0</v>
      </c>
      <c r="F110" s="647">
        <v>0</v>
      </c>
      <c r="G110" s="635">
        <f t="shared" si="23"/>
        <v>0</v>
      </c>
      <c r="H110" s="500">
        <f t="shared" si="24"/>
        <v>0</v>
      </c>
      <c r="I110" s="564">
        <f t="shared" si="25"/>
        <v>12</v>
      </c>
      <c r="J110" s="587"/>
    </row>
    <row r="111" spans="1:10" ht="15" x14ac:dyDescent="0.25">
      <c r="A111" s="435" t="s">
        <v>91</v>
      </c>
      <c r="B111" s="436">
        <v>8040</v>
      </c>
      <c r="C111" s="434">
        <v>1800</v>
      </c>
      <c r="D111" s="434">
        <v>1750</v>
      </c>
      <c r="E111" s="434">
        <f t="shared" si="22"/>
        <v>1750</v>
      </c>
      <c r="F111" s="647">
        <v>0</v>
      </c>
      <c r="G111" s="635">
        <f t="shared" si="23"/>
        <v>1750</v>
      </c>
      <c r="H111" s="500">
        <f t="shared" si="24"/>
        <v>1750</v>
      </c>
      <c r="I111" s="564">
        <f t="shared" si="25"/>
        <v>12</v>
      </c>
      <c r="J111" s="587"/>
    </row>
    <row r="112" spans="1:10" ht="15.6" thickBot="1" x14ac:dyDescent="0.3">
      <c r="A112" s="432"/>
      <c r="B112" s="440"/>
      <c r="C112" s="430">
        <v>0</v>
      </c>
      <c r="D112" s="430"/>
      <c r="E112" s="434">
        <f t="shared" si="22"/>
        <v>0</v>
      </c>
      <c r="F112" s="430">
        <v>0</v>
      </c>
      <c r="G112" s="635">
        <f t="shared" si="23"/>
        <v>0</v>
      </c>
      <c r="H112" s="500">
        <f t="shared" si="24"/>
        <v>0</v>
      </c>
      <c r="I112" s="564">
        <f t="shared" si="25"/>
        <v>12</v>
      </c>
      <c r="J112" s="587"/>
    </row>
    <row r="113" spans="1:10" ht="15.6" thickBot="1" x14ac:dyDescent="0.3">
      <c r="A113" s="532" t="s">
        <v>97</v>
      </c>
      <c r="B113" s="577"/>
      <c r="C113" s="648">
        <f>SUM(C87:C112)</f>
        <v>19560.37</v>
      </c>
      <c r="D113" s="648">
        <f>SUM(D87:D112)</f>
        <v>16587.810000000001</v>
      </c>
      <c r="E113" s="648">
        <f>SUM(E87:E111)</f>
        <v>16587.810000000001</v>
      </c>
      <c r="F113" s="648">
        <f t="shared" ref="F113:H113" si="26">SUM(F87:F111)</f>
        <v>13097.08</v>
      </c>
      <c r="G113" s="648">
        <f t="shared" si="26"/>
        <v>3490.73</v>
      </c>
      <c r="H113" s="648">
        <f t="shared" si="26"/>
        <v>3490.73</v>
      </c>
      <c r="I113" s="564"/>
      <c r="J113" s="587"/>
    </row>
    <row r="114" spans="1:10" ht="15.6" thickBot="1" x14ac:dyDescent="0.3">
      <c r="A114" s="432"/>
      <c r="B114" s="440"/>
      <c r="C114" s="430" t="s">
        <v>131</v>
      </c>
      <c r="D114" s="430"/>
      <c r="E114" s="431"/>
      <c r="F114" s="431"/>
      <c r="G114" s="431"/>
      <c r="H114" s="431"/>
      <c r="I114" s="564"/>
      <c r="J114" s="587"/>
    </row>
    <row r="115" spans="1:10" ht="15.6" thickBot="1" x14ac:dyDescent="0.3">
      <c r="A115" s="524" t="s">
        <v>98</v>
      </c>
      <c r="B115" s="525"/>
      <c r="C115" s="644">
        <f t="shared" ref="C115:H115" si="27">C113+C64+C37</f>
        <v>57995.5</v>
      </c>
      <c r="D115" s="644">
        <f t="shared" si="27"/>
        <v>43519.490000000005</v>
      </c>
      <c r="E115" s="649">
        <f t="shared" si="27"/>
        <v>43519.490000000005</v>
      </c>
      <c r="F115" s="649">
        <f t="shared" si="27"/>
        <v>53394.450000000004</v>
      </c>
      <c r="G115" s="649">
        <f t="shared" si="27"/>
        <v>-9874.9600000000028</v>
      </c>
      <c r="H115" s="649">
        <f t="shared" si="27"/>
        <v>-9874.9600000000028</v>
      </c>
      <c r="I115" s="564"/>
      <c r="J115" s="587"/>
    </row>
    <row r="116" spans="1:10" ht="15.6" thickBot="1" x14ac:dyDescent="0.3">
      <c r="A116" s="428"/>
      <c r="B116" s="447"/>
      <c r="C116" s="448"/>
      <c r="D116" s="448"/>
      <c r="E116" s="431"/>
      <c r="F116" s="431"/>
      <c r="I116" s="564"/>
      <c r="J116" s="587"/>
    </row>
    <row r="117" spans="1:10" ht="27" thickBot="1" x14ac:dyDescent="0.3">
      <c r="A117" s="536" t="s">
        <v>547</v>
      </c>
      <c r="B117" s="537" t="s">
        <v>2</v>
      </c>
      <c r="C117" s="650" t="str">
        <f>+C86</f>
        <v>Budget 2017-18</v>
      </c>
      <c r="D117" s="650" t="s">
        <v>568</v>
      </c>
      <c r="E117" s="650" t="s">
        <v>213</v>
      </c>
      <c r="F117" s="650" t="s">
        <v>184</v>
      </c>
      <c r="G117" s="651" t="s">
        <v>216</v>
      </c>
      <c r="H117" s="578" t="s">
        <v>215</v>
      </c>
      <c r="I117" s="564"/>
      <c r="J117" s="587"/>
    </row>
    <row r="118" spans="1:10" ht="15" x14ac:dyDescent="0.25">
      <c r="A118" s="437" t="s">
        <v>540</v>
      </c>
      <c r="B118" s="450">
        <v>9000</v>
      </c>
      <c r="C118" s="538">
        <v>16167.5</v>
      </c>
      <c r="D118" s="538">
        <v>7500</v>
      </c>
      <c r="E118" s="434">
        <f>D118/12*I118</f>
        <v>7500</v>
      </c>
      <c r="F118" s="446">
        <v>12561.4</v>
      </c>
      <c r="G118" s="635">
        <f>D118-F118</f>
        <v>-5061.3999999999996</v>
      </c>
      <c r="H118" s="501">
        <f>E118-F118</f>
        <v>-5061.3999999999996</v>
      </c>
      <c r="I118" s="564">
        <f>I112</f>
        <v>12</v>
      </c>
      <c r="J118" s="587" t="s">
        <v>584</v>
      </c>
    </row>
    <row r="119" spans="1:10" ht="15" x14ac:dyDescent="0.25">
      <c r="A119" s="435" t="s">
        <v>539</v>
      </c>
      <c r="B119" s="436">
        <v>9001</v>
      </c>
      <c r="C119" s="538">
        <v>1216.5999999999999</v>
      </c>
      <c r="D119" s="538">
        <v>1500</v>
      </c>
      <c r="E119" s="434">
        <f t="shared" ref="E119:E129" si="28">D119/12*I119</f>
        <v>1500</v>
      </c>
      <c r="F119" s="446"/>
      <c r="G119" s="635">
        <f t="shared" ref="G119:G129" si="29">D119-F119</f>
        <v>1500</v>
      </c>
      <c r="H119" s="501">
        <f t="shared" ref="H119:H129" si="30">E119-F119</f>
        <v>1500</v>
      </c>
      <c r="I119" s="564">
        <f>I118</f>
        <v>12</v>
      </c>
      <c r="J119" s="587"/>
    </row>
    <row r="120" spans="1:10" ht="15" x14ac:dyDescent="0.25">
      <c r="A120" s="435" t="s">
        <v>102</v>
      </c>
      <c r="B120" s="436">
        <v>9002</v>
      </c>
      <c r="C120" s="434"/>
      <c r="D120" s="434"/>
      <c r="E120" s="434">
        <f t="shared" si="28"/>
        <v>0</v>
      </c>
      <c r="F120" s="446"/>
      <c r="G120" s="635">
        <f t="shared" si="29"/>
        <v>0</v>
      </c>
      <c r="H120" s="501">
        <f t="shared" si="30"/>
        <v>0</v>
      </c>
      <c r="I120" s="564">
        <f t="shared" ref="I120:I129" si="31">I119</f>
        <v>12</v>
      </c>
      <c r="J120" s="587"/>
    </row>
    <row r="121" spans="1:10" ht="15" x14ac:dyDescent="0.25">
      <c r="A121" s="435" t="s">
        <v>103</v>
      </c>
      <c r="B121" s="436">
        <v>9003</v>
      </c>
      <c r="C121" s="434"/>
      <c r="D121" s="434"/>
      <c r="E121" s="434">
        <f t="shared" si="28"/>
        <v>0</v>
      </c>
      <c r="F121" s="446"/>
      <c r="G121" s="635">
        <f t="shared" si="29"/>
        <v>0</v>
      </c>
      <c r="H121" s="501">
        <f t="shared" si="30"/>
        <v>0</v>
      </c>
      <c r="I121" s="564">
        <f t="shared" si="31"/>
        <v>12</v>
      </c>
      <c r="J121" s="587"/>
    </row>
    <row r="122" spans="1:10" ht="15" x14ac:dyDescent="0.25">
      <c r="A122" s="435" t="s">
        <v>104</v>
      </c>
      <c r="B122" s="436">
        <v>9004</v>
      </c>
      <c r="C122" s="434">
        <v>3900</v>
      </c>
      <c r="D122" s="434">
        <v>3900</v>
      </c>
      <c r="E122" s="434">
        <f t="shared" si="28"/>
        <v>3900</v>
      </c>
      <c r="F122" s="446">
        <v>6539.36</v>
      </c>
      <c r="G122" s="635">
        <f t="shared" si="29"/>
        <v>-2639.3599999999997</v>
      </c>
      <c r="H122" s="501">
        <f t="shared" si="30"/>
        <v>-2639.3599999999997</v>
      </c>
      <c r="I122" s="564">
        <f t="shared" si="31"/>
        <v>12</v>
      </c>
      <c r="J122" s="587" t="s">
        <v>584</v>
      </c>
    </row>
    <row r="123" spans="1:10" ht="15" x14ac:dyDescent="0.25">
      <c r="A123" s="435" t="s">
        <v>105</v>
      </c>
      <c r="B123" s="436">
        <v>9005</v>
      </c>
      <c r="C123" s="539">
        <v>200</v>
      </c>
      <c r="D123" s="539">
        <v>200</v>
      </c>
      <c r="E123" s="434">
        <f t="shared" si="28"/>
        <v>200</v>
      </c>
      <c r="F123" s="446"/>
      <c r="G123" s="635">
        <f t="shared" si="29"/>
        <v>200</v>
      </c>
      <c r="H123" s="501">
        <f t="shared" si="30"/>
        <v>200</v>
      </c>
      <c r="I123" s="564">
        <f t="shared" si="31"/>
        <v>12</v>
      </c>
      <c r="J123" s="587"/>
    </row>
    <row r="124" spans="1:10" ht="15" x14ac:dyDescent="0.25">
      <c r="A124" s="435" t="s">
        <v>145</v>
      </c>
      <c r="B124" s="436">
        <v>9010</v>
      </c>
      <c r="C124" s="539">
        <v>200</v>
      </c>
      <c r="D124" s="539">
        <v>200</v>
      </c>
      <c r="E124" s="434">
        <f t="shared" si="28"/>
        <v>200</v>
      </c>
      <c r="F124" s="446"/>
      <c r="G124" s="635">
        <f t="shared" si="29"/>
        <v>200</v>
      </c>
      <c r="H124" s="501">
        <f t="shared" si="30"/>
        <v>200</v>
      </c>
      <c r="I124" s="564">
        <f t="shared" si="31"/>
        <v>12</v>
      </c>
      <c r="J124" s="587"/>
    </row>
    <row r="125" spans="1:10" ht="15" x14ac:dyDescent="0.25">
      <c r="A125" s="435" t="s">
        <v>106</v>
      </c>
      <c r="B125" s="436">
        <v>9006</v>
      </c>
      <c r="C125" s="539">
        <v>1000</v>
      </c>
      <c r="D125" s="539">
        <v>4000</v>
      </c>
      <c r="E125" s="434">
        <f t="shared" si="28"/>
        <v>4000</v>
      </c>
      <c r="F125" s="446">
        <v>3967.72</v>
      </c>
      <c r="G125" s="635">
        <f t="shared" si="29"/>
        <v>32.2800000000002</v>
      </c>
      <c r="H125" s="501">
        <f t="shared" si="30"/>
        <v>32.2800000000002</v>
      </c>
      <c r="I125" s="564">
        <f t="shared" si="31"/>
        <v>12</v>
      </c>
      <c r="J125" s="587"/>
    </row>
    <row r="126" spans="1:10" ht="15" x14ac:dyDescent="0.25">
      <c r="A126" s="435" t="s">
        <v>108</v>
      </c>
      <c r="B126" s="436">
        <v>8100</v>
      </c>
      <c r="C126" s="539">
        <v>4000</v>
      </c>
      <c r="D126" s="539">
        <v>1000</v>
      </c>
      <c r="E126" s="434">
        <f t="shared" si="28"/>
        <v>1000</v>
      </c>
      <c r="F126" s="446"/>
      <c r="G126" s="635">
        <f t="shared" si="29"/>
        <v>1000</v>
      </c>
      <c r="H126" s="501">
        <f t="shared" si="30"/>
        <v>1000</v>
      </c>
      <c r="I126" s="564">
        <f t="shared" si="31"/>
        <v>12</v>
      </c>
      <c r="J126" s="587"/>
    </row>
    <row r="127" spans="1:10" ht="15" x14ac:dyDescent="0.25">
      <c r="A127" s="435" t="s">
        <v>144</v>
      </c>
      <c r="B127" s="436">
        <v>9008</v>
      </c>
      <c r="C127" s="539">
        <v>250</v>
      </c>
      <c r="D127" s="539">
        <v>1000</v>
      </c>
      <c r="E127" s="434">
        <f t="shared" si="28"/>
        <v>1000</v>
      </c>
      <c r="F127" s="446">
        <v>79</v>
      </c>
      <c r="G127" s="635">
        <f t="shared" si="29"/>
        <v>921</v>
      </c>
      <c r="H127" s="501">
        <f t="shared" si="30"/>
        <v>921</v>
      </c>
      <c r="I127" s="564">
        <f t="shared" si="31"/>
        <v>12</v>
      </c>
      <c r="J127" s="587"/>
    </row>
    <row r="128" spans="1:10" ht="15" x14ac:dyDescent="0.25">
      <c r="A128" s="435" t="s">
        <v>146</v>
      </c>
      <c r="B128" s="436">
        <v>9012</v>
      </c>
      <c r="C128" s="539">
        <v>250</v>
      </c>
      <c r="D128" s="539">
        <v>1000</v>
      </c>
      <c r="E128" s="434">
        <f t="shared" si="28"/>
        <v>1000</v>
      </c>
      <c r="F128" s="446"/>
      <c r="G128" s="635">
        <f t="shared" si="29"/>
        <v>1000</v>
      </c>
      <c r="H128" s="501">
        <f t="shared" si="30"/>
        <v>1000</v>
      </c>
      <c r="I128" s="564">
        <f t="shared" si="31"/>
        <v>12</v>
      </c>
      <c r="J128" s="587"/>
    </row>
    <row r="129" spans="1:10" ht="15.6" thickBot="1" x14ac:dyDescent="0.3">
      <c r="A129" s="435" t="s">
        <v>109</v>
      </c>
      <c r="B129" s="436">
        <v>9013</v>
      </c>
      <c r="C129" s="539">
        <v>413.64</v>
      </c>
      <c r="D129" s="539">
        <v>500</v>
      </c>
      <c r="E129" s="434">
        <f t="shared" si="28"/>
        <v>500</v>
      </c>
      <c r="F129" s="446"/>
      <c r="G129" s="635">
        <f t="shared" si="29"/>
        <v>500</v>
      </c>
      <c r="H129" s="501">
        <f t="shared" si="30"/>
        <v>500</v>
      </c>
      <c r="I129" s="564">
        <f t="shared" si="31"/>
        <v>12</v>
      </c>
      <c r="J129" s="587"/>
    </row>
    <row r="130" spans="1:10" ht="15.6" thickBot="1" x14ac:dyDescent="0.3">
      <c r="A130" s="579" t="s">
        <v>113</v>
      </c>
      <c r="B130" s="580"/>
      <c r="C130" s="652">
        <f>SUM(C118:C129)</f>
        <v>27597.739999999998</v>
      </c>
      <c r="D130" s="652">
        <f>SUM(D118:D129)</f>
        <v>20800</v>
      </c>
      <c r="E130" s="652">
        <f>SUM(E118:E129)</f>
        <v>20800</v>
      </c>
      <c r="F130" s="652">
        <f>SUM(F118:F129)</f>
        <v>23147.48</v>
      </c>
      <c r="G130" s="652">
        <f t="shared" ref="G130:H130" si="32">SUM(G118:G129)</f>
        <v>-2347.4799999999996</v>
      </c>
      <c r="H130" s="652">
        <f t="shared" si="32"/>
        <v>-2347.4799999999996</v>
      </c>
      <c r="I130" s="564" t="s">
        <v>131</v>
      </c>
      <c r="J130" s="587"/>
    </row>
    <row r="131" spans="1:10" ht="15.6" thickBot="1" x14ac:dyDescent="0.3">
      <c r="A131" s="428"/>
      <c r="B131" s="447"/>
      <c r="C131" s="460"/>
      <c r="D131" s="460"/>
      <c r="E131" s="460"/>
      <c r="F131" s="460"/>
      <c r="G131" s="653"/>
      <c r="H131" s="521"/>
      <c r="I131" s="564"/>
      <c r="J131" s="587"/>
    </row>
    <row r="132" spans="1:10" ht="15.6" thickBot="1" x14ac:dyDescent="0.3">
      <c r="A132" s="524" t="s">
        <v>550</v>
      </c>
      <c r="B132" s="581"/>
      <c r="C132" s="654"/>
      <c r="D132" s="654"/>
      <c r="E132" s="582"/>
      <c r="F132" s="583" t="s">
        <v>131</v>
      </c>
      <c r="G132" s="584" t="s">
        <v>131</v>
      </c>
      <c r="H132" s="584"/>
      <c r="I132" s="564"/>
      <c r="J132" s="587"/>
    </row>
    <row r="133" spans="1:10" ht="0.75" customHeight="1" thickBot="1" x14ac:dyDescent="0.3">
      <c r="A133" s="462" t="s">
        <v>114</v>
      </c>
      <c r="B133" s="463" t="s">
        <v>2</v>
      </c>
      <c r="C133" s="464" t="str">
        <f>+C117</f>
        <v>Budget 2017-18</v>
      </c>
      <c r="D133" s="464" t="s">
        <v>528</v>
      </c>
      <c r="E133" s="464" t="s">
        <v>213</v>
      </c>
      <c r="F133" s="464" t="s">
        <v>184</v>
      </c>
      <c r="G133" s="655" t="s">
        <v>216</v>
      </c>
      <c r="H133" s="503" t="s">
        <v>215</v>
      </c>
      <c r="I133" s="564"/>
      <c r="J133" s="587"/>
    </row>
    <row r="134" spans="1:10" ht="15.75" hidden="1" customHeight="1" thickBot="1" x14ac:dyDescent="0.3">
      <c r="A134" s="465" t="s">
        <v>115</v>
      </c>
      <c r="B134" s="466">
        <v>6010</v>
      </c>
      <c r="C134" s="458">
        <v>0</v>
      </c>
      <c r="D134" s="457"/>
      <c r="E134" s="457">
        <f t="shared" ref="E134:E144" si="33">C134/12</f>
        <v>0</v>
      </c>
      <c r="F134" s="458">
        <v>0</v>
      </c>
      <c r="G134" s="635">
        <f t="shared" ref="G134:G144" si="34">C134-F134</f>
        <v>0</v>
      </c>
      <c r="H134" s="501">
        <f t="shared" ref="H134:H144" si="35">E134-F134</f>
        <v>0</v>
      </c>
      <c r="I134" s="564"/>
      <c r="J134" s="587"/>
    </row>
    <row r="135" spans="1:10" ht="15.75" hidden="1" customHeight="1" thickBot="1" x14ac:dyDescent="0.3">
      <c r="A135" s="455"/>
      <c r="B135" s="456">
        <v>6304</v>
      </c>
      <c r="C135" s="458">
        <v>0</v>
      </c>
      <c r="D135" s="457"/>
      <c r="E135" s="457">
        <f t="shared" si="33"/>
        <v>0</v>
      </c>
      <c r="F135" s="458">
        <v>0</v>
      </c>
      <c r="G135" s="635">
        <f t="shared" si="34"/>
        <v>0</v>
      </c>
      <c r="H135" s="501">
        <f t="shared" si="35"/>
        <v>0</v>
      </c>
      <c r="I135" s="564"/>
      <c r="J135" s="587"/>
    </row>
    <row r="136" spans="1:10" ht="15.75" hidden="1" customHeight="1" thickBot="1" x14ac:dyDescent="0.3">
      <c r="A136" s="455"/>
      <c r="B136" s="456">
        <v>6305</v>
      </c>
      <c r="C136" s="458">
        <v>0</v>
      </c>
      <c r="D136" s="457"/>
      <c r="E136" s="457">
        <f t="shared" si="33"/>
        <v>0</v>
      </c>
      <c r="F136" s="458">
        <v>0</v>
      </c>
      <c r="G136" s="635">
        <f t="shared" si="34"/>
        <v>0</v>
      </c>
      <c r="H136" s="501">
        <f t="shared" si="35"/>
        <v>0</v>
      </c>
      <c r="I136" s="564"/>
      <c r="J136" s="587"/>
    </row>
    <row r="137" spans="1:10" ht="15.75" hidden="1" customHeight="1" thickBot="1" x14ac:dyDescent="0.3">
      <c r="A137" s="455"/>
      <c r="B137" s="456">
        <v>6310</v>
      </c>
      <c r="C137" s="458">
        <v>0</v>
      </c>
      <c r="D137" s="457"/>
      <c r="E137" s="457">
        <f t="shared" si="33"/>
        <v>0</v>
      </c>
      <c r="F137" s="458">
        <v>0</v>
      </c>
      <c r="G137" s="635">
        <f t="shared" si="34"/>
        <v>0</v>
      </c>
      <c r="H137" s="501">
        <f t="shared" si="35"/>
        <v>0</v>
      </c>
      <c r="I137" s="564"/>
      <c r="J137" s="587"/>
    </row>
    <row r="138" spans="1:10" ht="15.75" hidden="1" customHeight="1" thickBot="1" x14ac:dyDescent="0.3">
      <c r="A138" s="455" t="s">
        <v>116</v>
      </c>
      <c r="B138" s="456">
        <v>6315</v>
      </c>
      <c r="C138" s="458">
        <v>0</v>
      </c>
      <c r="D138" s="457"/>
      <c r="E138" s="457">
        <f t="shared" si="33"/>
        <v>0</v>
      </c>
      <c r="F138" s="458">
        <v>0</v>
      </c>
      <c r="G138" s="635">
        <f t="shared" si="34"/>
        <v>0</v>
      </c>
      <c r="H138" s="501">
        <f t="shared" si="35"/>
        <v>0</v>
      </c>
      <c r="I138" s="564"/>
      <c r="J138" s="587"/>
    </row>
    <row r="139" spans="1:10" ht="15.75" hidden="1" customHeight="1" thickBot="1" x14ac:dyDescent="0.3">
      <c r="A139" s="455" t="s">
        <v>117</v>
      </c>
      <c r="B139" s="456">
        <v>6320</v>
      </c>
      <c r="C139" s="458">
        <v>0</v>
      </c>
      <c r="D139" s="457"/>
      <c r="E139" s="457">
        <f t="shared" si="33"/>
        <v>0</v>
      </c>
      <c r="F139" s="458">
        <v>0</v>
      </c>
      <c r="G139" s="635">
        <f t="shared" si="34"/>
        <v>0</v>
      </c>
      <c r="H139" s="501">
        <f t="shared" si="35"/>
        <v>0</v>
      </c>
      <c r="I139" s="564"/>
      <c r="J139" s="587"/>
    </row>
    <row r="140" spans="1:10" ht="15.75" hidden="1" customHeight="1" thickBot="1" x14ac:dyDescent="0.3">
      <c r="A140" s="455" t="s">
        <v>118</v>
      </c>
      <c r="B140" s="456">
        <v>6325</v>
      </c>
      <c r="C140" s="458">
        <v>0</v>
      </c>
      <c r="D140" s="457"/>
      <c r="E140" s="457">
        <f t="shared" si="33"/>
        <v>0</v>
      </c>
      <c r="F140" s="458">
        <v>0</v>
      </c>
      <c r="G140" s="635">
        <f t="shared" si="34"/>
        <v>0</v>
      </c>
      <c r="H140" s="501">
        <f t="shared" si="35"/>
        <v>0</v>
      </c>
      <c r="I140" s="564"/>
      <c r="J140" s="587"/>
    </row>
    <row r="141" spans="1:10" ht="15.75" hidden="1" customHeight="1" thickBot="1" x14ac:dyDescent="0.3">
      <c r="A141" s="455" t="s">
        <v>119</v>
      </c>
      <c r="B141" s="456">
        <v>6326</v>
      </c>
      <c r="C141" s="458">
        <v>0</v>
      </c>
      <c r="D141" s="457">
        <v>0</v>
      </c>
      <c r="E141" s="457">
        <f t="shared" si="33"/>
        <v>0</v>
      </c>
      <c r="F141" s="458">
        <v>0</v>
      </c>
      <c r="G141" s="635">
        <f t="shared" si="34"/>
        <v>0</v>
      </c>
      <c r="H141" s="501">
        <f t="shared" si="35"/>
        <v>0</v>
      </c>
      <c r="I141" s="564"/>
      <c r="J141" s="587"/>
    </row>
    <row r="142" spans="1:10" ht="15.75" hidden="1" customHeight="1" thickBot="1" x14ac:dyDescent="0.3">
      <c r="A142" s="455" t="s">
        <v>120</v>
      </c>
      <c r="B142" s="456">
        <v>6327</v>
      </c>
      <c r="C142" s="458">
        <v>0</v>
      </c>
      <c r="D142" s="457"/>
      <c r="E142" s="457">
        <f t="shared" si="33"/>
        <v>0</v>
      </c>
      <c r="F142" s="458">
        <v>0</v>
      </c>
      <c r="G142" s="635">
        <f t="shared" si="34"/>
        <v>0</v>
      </c>
      <c r="H142" s="501">
        <f t="shared" si="35"/>
        <v>0</v>
      </c>
      <c r="I142" s="564"/>
      <c r="J142" s="587"/>
    </row>
    <row r="143" spans="1:10" ht="15.75" hidden="1" customHeight="1" thickBot="1" x14ac:dyDescent="0.3">
      <c r="A143" s="455"/>
      <c r="B143" s="456">
        <v>6328</v>
      </c>
      <c r="C143" s="458">
        <v>0</v>
      </c>
      <c r="D143" s="457"/>
      <c r="E143" s="457">
        <f t="shared" si="33"/>
        <v>0</v>
      </c>
      <c r="F143" s="458">
        <v>0</v>
      </c>
      <c r="G143" s="635">
        <f t="shared" si="34"/>
        <v>0</v>
      </c>
      <c r="H143" s="501">
        <f t="shared" si="35"/>
        <v>0</v>
      </c>
      <c r="I143" s="564"/>
      <c r="J143" s="587"/>
    </row>
    <row r="144" spans="1:10" ht="15.75" hidden="1" customHeight="1" thickBot="1" x14ac:dyDescent="0.3">
      <c r="A144" s="455" t="s">
        <v>233</v>
      </c>
      <c r="B144" s="456">
        <v>6330</v>
      </c>
      <c r="C144" s="458">
        <v>0</v>
      </c>
      <c r="D144" s="457"/>
      <c r="E144" s="457">
        <f t="shared" si="33"/>
        <v>0</v>
      </c>
      <c r="F144" s="458">
        <v>0</v>
      </c>
      <c r="G144" s="656">
        <f t="shared" si="34"/>
        <v>0</v>
      </c>
      <c r="H144" s="502">
        <f t="shared" si="35"/>
        <v>0</v>
      </c>
      <c r="I144" s="564"/>
      <c r="J144" s="587"/>
    </row>
    <row r="145" spans="1:10" ht="15.75" hidden="1" customHeight="1" thickBot="1" x14ac:dyDescent="0.3">
      <c r="A145" s="462" t="s">
        <v>121</v>
      </c>
      <c r="B145" s="463"/>
      <c r="C145" s="467">
        <f t="shared" ref="C145:H145" si="36">SUM(C134:C144)</f>
        <v>0</v>
      </c>
      <c r="D145" s="467">
        <f t="shared" si="36"/>
        <v>0</v>
      </c>
      <c r="E145" s="467">
        <f t="shared" si="36"/>
        <v>0</v>
      </c>
      <c r="F145" s="467">
        <f t="shared" si="36"/>
        <v>0</v>
      </c>
      <c r="G145" s="655">
        <f t="shared" si="36"/>
        <v>0</v>
      </c>
      <c r="H145" s="505">
        <f t="shared" si="36"/>
        <v>0</v>
      </c>
      <c r="I145" s="564"/>
      <c r="J145" s="587"/>
    </row>
    <row r="146" spans="1:10" ht="15.6" thickBot="1" x14ac:dyDescent="0.3">
      <c r="A146" s="432"/>
      <c r="B146" s="440"/>
      <c r="C146" s="430"/>
      <c r="D146" s="430"/>
      <c r="E146" s="431"/>
      <c r="F146" s="445" t="s">
        <v>131</v>
      </c>
      <c r="G146" s="506" t="s">
        <v>131</v>
      </c>
      <c r="H146" s="499"/>
      <c r="I146" s="564"/>
      <c r="J146" s="587"/>
    </row>
    <row r="147" spans="1:10" ht="15.6" thickBot="1" x14ac:dyDescent="0.3">
      <c r="A147" s="468" t="s">
        <v>122</v>
      </c>
      <c r="B147" s="469"/>
      <c r="C147" s="657">
        <f>C25</f>
        <v>114703.85</v>
      </c>
      <c r="D147" s="657">
        <f>D25</f>
        <v>115817.20000000001</v>
      </c>
      <c r="E147" s="657">
        <f>E25</f>
        <v>115817.20000000004</v>
      </c>
      <c r="F147" s="657">
        <f>F25</f>
        <v>127076.49</v>
      </c>
      <c r="G147" s="657">
        <f t="shared" ref="G147:H147" si="37">G25</f>
        <v>-11259.289999999968</v>
      </c>
      <c r="H147" s="657">
        <f t="shared" si="37"/>
        <v>11259.289999999964</v>
      </c>
      <c r="I147" s="564"/>
      <c r="J147" s="587"/>
    </row>
    <row r="148" spans="1:10" ht="15" x14ac:dyDescent="0.25">
      <c r="A148" s="470"/>
      <c r="B148" s="658"/>
      <c r="C148" s="430"/>
      <c r="D148" s="431"/>
      <c r="E148" s="431"/>
      <c r="F148" s="431"/>
      <c r="I148" s="564"/>
      <c r="J148" s="587"/>
    </row>
    <row r="149" spans="1:10" ht="15" x14ac:dyDescent="0.25">
      <c r="A149" s="471" t="s">
        <v>549</v>
      </c>
      <c r="B149" s="436"/>
      <c r="C149" s="472">
        <f>C64+C37</f>
        <v>38435.130000000005</v>
      </c>
      <c r="D149" s="472">
        <f>D64+D37</f>
        <v>26931.68</v>
      </c>
      <c r="E149" s="472">
        <f>E64+E37</f>
        <v>26931.68</v>
      </c>
      <c r="F149" s="472">
        <f>F64+F37</f>
        <v>40297.370000000003</v>
      </c>
      <c r="G149" s="472">
        <f t="shared" ref="G149:H149" si="38">G64+G37</f>
        <v>-13365.690000000002</v>
      </c>
      <c r="H149" s="472">
        <f t="shared" si="38"/>
        <v>-13365.690000000002</v>
      </c>
      <c r="I149" s="564"/>
      <c r="J149" s="587"/>
    </row>
    <row r="150" spans="1:10" ht="15.6" thickBot="1" x14ac:dyDescent="0.3">
      <c r="A150" s="473" t="s">
        <v>541</v>
      </c>
      <c r="B150" s="450"/>
      <c r="C150" s="446">
        <f>C113</f>
        <v>19560.37</v>
      </c>
      <c r="D150" s="446">
        <f>D113</f>
        <v>16587.810000000001</v>
      </c>
      <c r="E150" s="659">
        <f>E113</f>
        <v>16587.810000000001</v>
      </c>
      <c r="F150" s="659">
        <f>F113</f>
        <v>13097.08</v>
      </c>
      <c r="G150" s="659">
        <f t="shared" ref="G150:H150" si="39">G113</f>
        <v>3490.73</v>
      </c>
      <c r="H150" s="659">
        <f t="shared" si="39"/>
        <v>3490.73</v>
      </c>
      <c r="I150" s="564"/>
      <c r="J150" s="587"/>
    </row>
    <row r="151" spans="1:10" ht="30.6" thickBot="1" x14ac:dyDescent="0.3">
      <c r="A151" s="474" t="s">
        <v>551</v>
      </c>
      <c r="B151" s="475" t="s">
        <v>151</v>
      </c>
      <c r="C151" s="439">
        <f t="shared" ref="C151:H151" si="40">SUM(C149:C150)</f>
        <v>57995.5</v>
      </c>
      <c r="D151" s="439">
        <f t="shared" si="40"/>
        <v>43519.490000000005</v>
      </c>
      <c r="E151" s="439">
        <f t="shared" si="40"/>
        <v>43519.490000000005</v>
      </c>
      <c r="F151" s="439">
        <f t="shared" si="40"/>
        <v>53394.450000000004</v>
      </c>
      <c r="G151" s="439">
        <f t="shared" si="40"/>
        <v>-9874.9600000000028</v>
      </c>
      <c r="H151" s="439">
        <f t="shared" si="40"/>
        <v>-9874.9600000000028</v>
      </c>
      <c r="I151" s="564"/>
      <c r="J151" s="587"/>
    </row>
    <row r="152" spans="1:10" ht="15.6" thickBot="1" x14ac:dyDescent="0.3">
      <c r="A152" s="432"/>
      <c r="B152" s="447"/>
      <c r="C152" s="430"/>
      <c r="D152" s="430"/>
      <c r="E152" s="431"/>
      <c r="F152" s="431"/>
      <c r="G152" s="431"/>
      <c r="H152" s="431"/>
      <c r="I152" s="564"/>
      <c r="J152" s="587"/>
    </row>
    <row r="153" spans="1:10" ht="15.6" thickBot="1" x14ac:dyDescent="0.3">
      <c r="A153" s="468" t="s">
        <v>543</v>
      </c>
      <c r="B153" s="476" t="s">
        <v>152</v>
      </c>
      <c r="C153" s="439">
        <f>C130</f>
        <v>27597.739999999998</v>
      </c>
      <c r="D153" s="439">
        <f>D130</f>
        <v>20800</v>
      </c>
      <c r="E153" s="439">
        <f>E130</f>
        <v>20800</v>
      </c>
      <c r="F153" s="439">
        <f>F130</f>
        <v>23147.48</v>
      </c>
      <c r="G153" s="439">
        <f t="shared" ref="G153:H153" si="41">G130</f>
        <v>-2347.4799999999996</v>
      </c>
      <c r="H153" s="439">
        <f t="shared" si="41"/>
        <v>-2347.4799999999996</v>
      </c>
      <c r="I153" s="564"/>
      <c r="J153" s="587"/>
    </row>
    <row r="154" spans="1:10" ht="18" customHeight="1" thickBot="1" x14ac:dyDescent="0.3">
      <c r="A154" s="477"/>
      <c r="B154" s="478"/>
      <c r="C154" s="660"/>
      <c r="D154" s="430"/>
      <c r="E154" s="431"/>
      <c r="F154" s="431"/>
      <c r="G154" s="431"/>
      <c r="H154" s="431"/>
      <c r="I154" s="564"/>
      <c r="J154" s="587"/>
    </row>
    <row r="155" spans="1:10" ht="15.75" hidden="1" customHeight="1" thickBot="1" x14ac:dyDescent="0.3">
      <c r="A155" s="468" t="s">
        <v>126</v>
      </c>
      <c r="B155" s="476" t="s">
        <v>153</v>
      </c>
      <c r="C155" s="439">
        <f>C145</f>
        <v>0</v>
      </c>
      <c r="D155" s="439">
        <f>D145</f>
        <v>0</v>
      </c>
      <c r="E155" s="439">
        <f>E145</f>
        <v>0</v>
      </c>
      <c r="F155" s="439">
        <f>F145</f>
        <v>0</v>
      </c>
      <c r="G155" s="439">
        <f t="shared" ref="G155:H155" si="42">G145</f>
        <v>0</v>
      </c>
      <c r="H155" s="439">
        <f t="shared" si="42"/>
        <v>0</v>
      </c>
      <c r="I155" s="564"/>
      <c r="J155" s="587"/>
    </row>
    <row r="156" spans="1:10" ht="15.75" hidden="1" customHeight="1" thickBot="1" x14ac:dyDescent="0.3">
      <c r="A156" s="477"/>
      <c r="B156" s="478"/>
      <c r="C156" s="660"/>
      <c r="D156" s="430"/>
      <c r="E156" s="431"/>
      <c r="F156" s="431"/>
      <c r="G156" s="431"/>
      <c r="H156" s="431"/>
      <c r="I156" s="564"/>
      <c r="J156" s="587"/>
    </row>
    <row r="157" spans="1:10" ht="15.6" thickBot="1" x14ac:dyDescent="0.3">
      <c r="A157" s="468" t="s">
        <v>548</v>
      </c>
      <c r="B157" s="476" t="s">
        <v>154</v>
      </c>
      <c r="C157" s="439">
        <f>C84</f>
        <v>49965.648980000005</v>
      </c>
      <c r="D157" s="439">
        <f>D84</f>
        <v>48325.130000000005</v>
      </c>
      <c r="E157" s="439">
        <f>E84</f>
        <v>48325.130000000005</v>
      </c>
      <c r="F157" s="439">
        <f>F84</f>
        <v>47072.960000000006</v>
      </c>
      <c r="G157" s="439">
        <f t="shared" ref="G157:H157" si="43">G84</f>
        <v>1252.1700000000019</v>
      </c>
      <c r="H157" s="439">
        <f t="shared" si="43"/>
        <v>1252.1700000000019</v>
      </c>
      <c r="I157" s="564"/>
      <c r="J157" s="587"/>
    </row>
    <row r="158" spans="1:10" ht="15.6" thickBot="1" x14ac:dyDescent="0.3">
      <c r="A158" s="432"/>
      <c r="B158" s="440"/>
      <c r="C158" s="430"/>
      <c r="D158" s="430"/>
      <c r="E158" s="431"/>
      <c r="F158" s="431"/>
      <c r="G158" s="431"/>
      <c r="H158" s="431"/>
      <c r="I158" s="564"/>
      <c r="J158" s="587"/>
    </row>
    <row r="159" spans="1:10" ht="18" thickBot="1" x14ac:dyDescent="0.35">
      <c r="A159" s="468" t="s">
        <v>127</v>
      </c>
      <c r="B159" s="540"/>
      <c r="C159" s="649">
        <f>C147 - (C151+C153+C155+C157)</f>
        <v>-20855.038979999983</v>
      </c>
      <c r="D159" s="649">
        <f>D147 - (D151+D153+D155+D157)</f>
        <v>3172.5800000000017</v>
      </c>
      <c r="E159" s="649">
        <f>E147 - (E151+E153+E155+E157)</f>
        <v>3172.5800000000309</v>
      </c>
      <c r="F159" s="661">
        <f t="shared" ref="F159:H159" si="44">F147 - (F151+F153+F155+F157)</f>
        <v>3461.5999999999913</v>
      </c>
      <c r="G159" s="649">
        <f t="shared" si="44"/>
        <v>-289.01999999996769</v>
      </c>
      <c r="H159" s="649">
        <f t="shared" si="44"/>
        <v>22229.559999999965</v>
      </c>
      <c r="I159" s="564"/>
      <c r="J159" s="587"/>
    </row>
    <row r="160" spans="1:10" ht="15.6" thickBot="1" x14ac:dyDescent="0.3">
      <c r="A160" s="432"/>
      <c r="B160" s="440"/>
      <c r="C160" s="479"/>
      <c r="D160" s="479"/>
      <c r="E160" s="480"/>
      <c r="F160" s="480"/>
      <c r="G160" s="499" t="s">
        <v>131</v>
      </c>
      <c r="H160" s="499"/>
      <c r="I160" s="564"/>
      <c r="J160" s="587"/>
    </row>
    <row r="161" spans="1:10" ht="15.6" thickBot="1" x14ac:dyDescent="0.3">
      <c r="A161" s="541" t="s">
        <v>156</v>
      </c>
      <c r="B161" s="542"/>
      <c r="C161" s="543" t="s">
        <v>172</v>
      </c>
      <c r="D161" s="543"/>
      <c r="E161" s="543" t="s">
        <v>173</v>
      </c>
      <c r="F161" s="662" t="s">
        <v>157</v>
      </c>
      <c r="G161" s="507" t="s">
        <v>217</v>
      </c>
      <c r="H161" s="508" t="s">
        <v>295</v>
      </c>
      <c r="I161" s="564"/>
      <c r="J161" s="587"/>
    </row>
    <row r="162" spans="1:10" ht="15.6" thickBot="1" x14ac:dyDescent="0.3">
      <c r="A162" s="428"/>
      <c r="B162" s="544"/>
      <c r="C162" s="545">
        <f>C25</f>
        <v>114703.85</v>
      </c>
      <c r="D162" s="545">
        <f>D25</f>
        <v>115817.20000000001</v>
      </c>
      <c r="E162" s="545">
        <f>+F25</f>
        <v>127076.49</v>
      </c>
      <c r="F162" s="545">
        <f>SUM(F151:F157)</f>
        <v>123614.89000000001</v>
      </c>
      <c r="G162" s="509">
        <f>C162-F162</f>
        <v>-8911.0400000000081</v>
      </c>
      <c r="H162" s="510">
        <f>E162-F162</f>
        <v>3461.5999999999913</v>
      </c>
      <c r="I162" s="564"/>
      <c r="J162" s="587"/>
    </row>
    <row r="163" spans="1:10" s="424" customFormat="1" ht="15.6" outlineLevel="1" thickBot="1" x14ac:dyDescent="0.3">
      <c r="A163" s="428"/>
      <c r="B163" s="447"/>
      <c r="C163" s="448" t="s">
        <v>131</v>
      </c>
      <c r="D163" s="448"/>
      <c r="E163" s="481"/>
      <c r="F163" s="546" t="s">
        <v>131</v>
      </c>
      <c r="I163" s="564"/>
      <c r="J163" s="588"/>
    </row>
    <row r="164" spans="1:10" s="424" customFormat="1" ht="15.6" outlineLevel="1" thickBot="1" x14ac:dyDescent="0.3">
      <c r="A164" s="477"/>
      <c r="B164" s="547"/>
      <c r="C164" s="660" t="s">
        <v>131</v>
      </c>
      <c r="D164" s="660"/>
      <c r="E164" s="548"/>
      <c r="F164" s="548"/>
      <c r="G164" s="511"/>
      <c r="H164" s="512"/>
      <c r="I164" s="564"/>
      <c r="J164" s="588"/>
    </row>
    <row r="165" spans="1:10" ht="27" outlineLevel="1" thickBot="1" x14ac:dyDescent="0.3">
      <c r="A165" s="549" t="s">
        <v>542</v>
      </c>
      <c r="B165" s="550"/>
      <c r="C165" s="663" t="str">
        <f>+C133</f>
        <v>Budget 2017-18</v>
      </c>
      <c r="D165" s="664" t="s">
        <v>568</v>
      </c>
      <c r="E165" s="665" t="s">
        <v>213</v>
      </c>
      <c r="F165" s="665" t="s">
        <v>184</v>
      </c>
      <c r="G165" s="666" t="s">
        <v>216</v>
      </c>
      <c r="H165" s="513" t="s">
        <v>215</v>
      </c>
      <c r="I165" s="564"/>
      <c r="J165" s="587"/>
    </row>
    <row r="166" spans="1:10" ht="15" outlineLevel="1" x14ac:dyDescent="0.25">
      <c r="A166" s="435" t="s">
        <v>552</v>
      </c>
      <c r="B166" s="436"/>
      <c r="C166" s="446">
        <f t="shared" ref="C166:F167" si="45">C149</f>
        <v>38435.130000000005</v>
      </c>
      <c r="D166" s="446">
        <f t="shared" si="45"/>
        <v>26931.68</v>
      </c>
      <c r="E166" s="446">
        <f t="shared" si="45"/>
        <v>26931.68</v>
      </c>
      <c r="F166" s="446">
        <f t="shared" si="45"/>
        <v>40297.370000000003</v>
      </c>
      <c r="G166" s="667">
        <f>C166-F166</f>
        <v>-1862.239999999998</v>
      </c>
      <c r="H166" s="514">
        <f>E166-F166</f>
        <v>-13365.690000000002</v>
      </c>
      <c r="I166" s="564"/>
      <c r="J166" s="587"/>
    </row>
    <row r="167" spans="1:10" ht="15" outlineLevel="1" x14ac:dyDescent="0.25">
      <c r="A167" s="435" t="s">
        <v>541</v>
      </c>
      <c r="B167" s="436"/>
      <c r="C167" s="446">
        <f t="shared" si="45"/>
        <v>19560.37</v>
      </c>
      <c r="D167" s="446">
        <f t="shared" si="45"/>
        <v>16587.810000000001</v>
      </c>
      <c r="E167" s="446">
        <f t="shared" si="45"/>
        <v>16587.810000000001</v>
      </c>
      <c r="F167" s="446">
        <f t="shared" si="45"/>
        <v>13097.08</v>
      </c>
      <c r="G167" s="667">
        <f>C167-F167</f>
        <v>6463.2899999999991</v>
      </c>
      <c r="H167" s="514">
        <f>E167-F167</f>
        <v>3490.7300000000014</v>
      </c>
      <c r="I167" s="564"/>
      <c r="J167" s="587"/>
    </row>
    <row r="168" spans="1:10" ht="15" outlineLevel="1" x14ac:dyDescent="0.25">
      <c r="A168" s="435" t="s">
        <v>553</v>
      </c>
      <c r="B168" s="436"/>
      <c r="C168" s="446">
        <f>C157</f>
        <v>49965.648980000005</v>
      </c>
      <c r="D168" s="446">
        <f>D157</f>
        <v>48325.130000000005</v>
      </c>
      <c r="E168" s="446">
        <f>E157</f>
        <v>48325.130000000005</v>
      </c>
      <c r="F168" s="446">
        <f>F157</f>
        <v>47072.960000000006</v>
      </c>
      <c r="G168" s="667">
        <f>C168-F168</f>
        <v>2892.688979999999</v>
      </c>
      <c r="H168" s="514">
        <f>E168-F168</f>
        <v>1252.1699999999983</v>
      </c>
      <c r="I168" s="564"/>
      <c r="J168" s="587"/>
    </row>
    <row r="169" spans="1:10" ht="15.6" outlineLevel="1" thickBot="1" x14ac:dyDescent="0.3">
      <c r="A169" s="435" t="s">
        <v>561</v>
      </c>
      <c r="B169" s="436"/>
      <c r="C169" s="446">
        <f>C130</f>
        <v>27597.739999999998</v>
      </c>
      <c r="D169" s="446">
        <f>D130</f>
        <v>20800</v>
      </c>
      <c r="E169" s="446"/>
      <c r="F169" s="446"/>
      <c r="G169" s="668"/>
      <c r="H169" s="523"/>
      <c r="I169" s="564"/>
      <c r="J169" s="587"/>
    </row>
    <row r="170" spans="1:10" ht="15.6" outlineLevel="1" thickBot="1" x14ac:dyDescent="0.3">
      <c r="A170" s="551" t="s">
        <v>97</v>
      </c>
      <c r="B170" s="552"/>
      <c r="C170" s="669">
        <f>SUM(C166:C168)</f>
        <v>107961.14898</v>
      </c>
      <c r="D170" s="669">
        <f>SUM(D166:D168)</f>
        <v>91844.62000000001</v>
      </c>
      <c r="E170" s="669">
        <f t="shared" ref="E170:H170" si="46">SUM(E166:E168)</f>
        <v>91844.62000000001</v>
      </c>
      <c r="F170" s="669">
        <f t="shared" si="46"/>
        <v>100467.41</v>
      </c>
      <c r="G170" s="670">
        <f t="shared" si="46"/>
        <v>7493.7389800000001</v>
      </c>
      <c r="H170" s="671">
        <f t="shared" si="46"/>
        <v>-8622.7900000000027</v>
      </c>
      <c r="I170" s="564"/>
      <c r="J170" s="587"/>
    </row>
    <row r="171" spans="1:10" ht="15" outlineLevel="1" x14ac:dyDescent="0.25">
      <c r="A171" s="553"/>
      <c r="B171" s="554"/>
      <c r="C171" s="672"/>
      <c r="D171" s="672"/>
      <c r="E171" s="672"/>
      <c r="F171" s="672"/>
      <c r="G171" s="673"/>
      <c r="H171" s="674"/>
      <c r="I171" s="564"/>
      <c r="J171" s="587"/>
    </row>
    <row r="172" spans="1:10" ht="52.5" customHeight="1" outlineLevel="1" thickBot="1" x14ac:dyDescent="0.3">
      <c r="A172" s="616" t="s">
        <v>559</v>
      </c>
      <c r="B172" s="617"/>
      <c r="C172" s="617"/>
      <c r="D172" s="617"/>
      <c r="E172" s="617"/>
      <c r="F172" s="618"/>
      <c r="H172" s="515"/>
      <c r="J172" s="587"/>
    </row>
    <row r="173" spans="1:10" ht="45.6" outlineLevel="1" thickBot="1" x14ac:dyDescent="0.3">
      <c r="A173" s="555" t="s">
        <v>554</v>
      </c>
      <c r="B173" s="556"/>
      <c r="C173" s="675">
        <f>C168*0.4</f>
        <v>19986.259592000002</v>
      </c>
      <c r="D173" s="675">
        <f>D168*0.4</f>
        <v>19330.052000000003</v>
      </c>
      <c r="E173" s="675">
        <f>E168*0.4</f>
        <v>19330.052000000003</v>
      </c>
      <c r="F173" s="675">
        <f>F168*0.4</f>
        <v>18829.184000000005</v>
      </c>
      <c r="G173" s="666">
        <f>C173-F173</f>
        <v>1157.0755919999974</v>
      </c>
      <c r="H173" s="516">
        <f>E173-F173</f>
        <v>500.86799999999857</v>
      </c>
      <c r="J173" s="587"/>
    </row>
    <row r="174" spans="1:10" ht="45.6" outlineLevel="1" thickBot="1" x14ac:dyDescent="0.3">
      <c r="A174" s="557" t="s">
        <v>555</v>
      </c>
      <c r="B174" s="552"/>
      <c r="C174" s="669">
        <f t="shared" ref="C174:H174" si="47">C167*0.3</f>
        <v>5868.1109999999999</v>
      </c>
      <c r="D174" s="669">
        <f t="shared" si="47"/>
        <v>4976.3429999999998</v>
      </c>
      <c r="E174" s="669">
        <f t="shared" si="47"/>
        <v>4976.3429999999998</v>
      </c>
      <c r="F174" s="669">
        <f t="shared" si="47"/>
        <v>3929.1239999999998</v>
      </c>
      <c r="G174" s="666">
        <f t="shared" si="47"/>
        <v>1938.9869999999996</v>
      </c>
      <c r="H174" s="517">
        <f t="shared" si="47"/>
        <v>1047.2190000000003</v>
      </c>
      <c r="J174" s="587"/>
    </row>
    <row r="175" spans="1:10" ht="15" outlineLevel="1" x14ac:dyDescent="0.25">
      <c r="A175" s="558"/>
      <c r="B175" s="447"/>
      <c r="C175" s="460"/>
      <c r="D175" s="460"/>
      <c r="E175" s="460"/>
      <c r="F175" s="460"/>
      <c r="G175" s="653"/>
      <c r="H175" s="522"/>
      <c r="J175" s="587"/>
    </row>
    <row r="176" spans="1:10" ht="51.75" customHeight="1" outlineLevel="1" thickBot="1" x14ac:dyDescent="0.3">
      <c r="A176" s="619" t="s">
        <v>560</v>
      </c>
      <c r="B176" s="619"/>
      <c r="C176" s="619"/>
      <c r="D176" s="619"/>
      <c r="E176" s="619"/>
      <c r="F176" s="619"/>
      <c r="H176" s="515"/>
      <c r="J176" s="587"/>
    </row>
    <row r="177" spans="1:10" ht="15.6" outlineLevel="1" thickBot="1" x14ac:dyDescent="0.3">
      <c r="A177" s="559" t="s">
        <v>558</v>
      </c>
      <c r="B177" s="620"/>
      <c r="C177" s="621"/>
      <c r="D177" s="622"/>
      <c r="E177" s="676">
        <f t="shared" ref="E177:H177" si="48">E170-E173-E174</f>
        <v>67538.225000000006</v>
      </c>
      <c r="F177" s="676">
        <f t="shared" si="48"/>
        <v>77709.101999999999</v>
      </c>
      <c r="G177" s="677">
        <f t="shared" si="48"/>
        <v>4397.6763880000035</v>
      </c>
      <c r="H177" s="678">
        <f t="shared" si="48"/>
        <v>-10170.877000000002</v>
      </c>
      <c r="J177" s="587"/>
    </row>
    <row r="178" spans="1:10" ht="15.6" outlineLevel="1" thickBot="1" x14ac:dyDescent="0.3">
      <c r="A178" s="560" t="s">
        <v>563</v>
      </c>
      <c r="B178" s="561"/>
      <c r="C178" s="679">
        <f>C170-C173-C174</f>
        <v>82106.778387999992</v>
      </c>
      <c r="D178" s="679">
        <f>D170-D173-D174</f>
        <v>67538.225000000006</v>
      </c>
      <c r="E178" s="676"/>
      <c r="F178" s="676"/>
      <c r="G178" s="677"/>
      <c r="H178" s="678"/>
      <c r="J178" s="587"/>
    </row>
    <row r="179" spans="1:10" ht="15.6" outlineLevel="1" thickBot="1" x14ac:dyDescent="0.3">
      <c r="A179" s="435" t="s">
        <v>556</v>
      </c>
      <c r="B179" s="436"/>
      <c r="C179" s="446">
        <f>C178/78*39</f>
        <v>41053.389193999996</v>
      </c>
      <c r="D179" s="446">
        <f>D178/78*39</f>
        <v>33769.112500000003</v>
      </c>
      <c r="E179" s="672">
        <f>E177/78*39</f>
        <v>33769.112500000003</v>
      </c>
      <c r="F179" s="642">
        <f>F177/78*39</f>
        <v>38854.550999999999</v>
      </c>
      <c r="G179" s="680">
        <f>C179-F179</f>
        <v>2198.8381939999963</v>
      </c>
      <c r="H179" s="518">
        <f>E179-F179</f>
        <v>-5085.4384999999966</v>
      </c>
      <c r="J179" s="587"/>
    </row>
    <row r="180" spans="1:10" ht="15.6" outlineLevel="1" thickBot="1" x14ac:dyDescent="0.3">
      <c r="A180" s="435" t="s">
        <v>557</v>
      </c>
      <c r="B180" s="436"/>
      <c r="C180" s="446">
        <f>C178/78*39</f>
        <v>41053.389193999996</v>
      </c>
      <c r="D180" s="446">
        <f>D178/78*39</f>
        <v>33769.112500000003</v>
      </c>
      <c r="E180" s="672">
        <f>E177/78*39</f>
        <v>33769.112500000003</v>
      </c>
      <c r="F180" s="642">
        <f>F177/78*39</f>
        <v>38854.550999999999</v>
      </c>
      <c r="G180" s="680">
        <f>C180-F180</f>
        <v>2198.8381939999963</v>
      </c>
      <c r="H180" s="518">
        <f>E180-F180</f>
        <v>-5085.4384999999966</v>
      </c>
      <c r="J180" s="587"/>
    </row>
    <row r="181" spans="1:10" ht="15" outlineLevel="1" x14ac:dyDescent="0.25">
      <c r="A181" s="562"/>
      <c r="B181" s="440"/>
      <c r="C181" s="430"/>
      <c r="D181" s="430"/>
      <c r="E181" s="431"/>
      <c r="F181" s="431"/>
      <c r="H181" s="515"/>
      <c r="J181" s="587"/>
    </row>
    <row r="182" spans="1:10" ht="15" outlineLevel="1" x14ac:dyDescent="0.25">
      <c r="A182" s="562"/>
      <c r="B182" s="440"/>
      <c r="C182" s="430"/>
      <c r="D182" s="430"/>
      <c r="E182" s="431"/>
      <c r="F182" s="431"/>
      <c r="H182" s="515"/>
      <c r="J182" s="587"/>
    </row>
    <row r="183" spans="1:10" ht="15" outlineLevel="1" x14ac:dyDescent="0.25">
      <c r="A183" s="559" t="s">
        <v>562</v>
      </c>
      <c r="B183" s="623"/>
      <c r="C183" s="624"/>
      <c r="D183" s="625"/>
      <c r="E183" s="585"/>
      <c r="F183" s="431"/>
      <c r="H183" s="515"/>
      <c r="J183" s="587"/>
    </row>
    <row r="184" spans="1:10" ht="15" outlineLevel="1" x14ac:dyDescent="0.25">
      <c r="A184" s="435" t="s">
        <v>564</v>
      </c>
      <c r="B184" s="436"/>
      <c r="C184" s="446"/>
      <c r="D184" s="446">
        <f>SUM(D5+D7+D8+D10+D13+D14)</f>
        <v>79114.910000000018</v>
      </c>
      <c r="E184" s="585"/>
      <c r="F184" s="431"/>
      <c r="H184" s="515"/>
      <c r="J184" s="587"/>
    </row>
    <row r="185" spans="1:10" ht="15" outlineLevel="1" x14ac:dyDescent="0.25">
      <c r="A185" s="435" t="s">
        <v>565</v>
      </c>
      <c r="B185" s="436"/>
      <c r="C185" s="446"/>
      <c r="D185" s="446">
        <f>SUM(D173+D174+D179+D169)</f>
        <v>78875.507500000007</v>
      </c>
      <c r="E185" s="585"/>
      <c r="F185" s="431"/>
      <c r="H185" s="515"/>
      <c r="J185" s="587"/>
    </row>
    <row r="186" spans="1:10" ht="15" outlineLevel="1" x14ac:dyDescent="0.25">
      <c r="A186" s="553" t="s">
        <v>574</v>
      </c>
      <c r="B186" s="554"/>
      <c r="C186" s="642"/>
      <c r="D186" s="446">
        <f>SUM(D184-D185)</f>
        <v>239.40250000001106</v>
      </c>
      <c r="E186" s="431"/>
      <c r="F186" s="431"/>
      <c r="H186" s="515"/>
      <c r="J186" s="587"/>
    </row>
    <row r="187" spans="1:10" ht="15" customHeight="1" outlineLevel="1" thickBot="1" x14ac:dyDescent="0.3">
      <c r="A187" s="435" t="s">
        <v>566</v>
      </c>
      <c r="B187" s="436"/>
      <c r="C187" s="446"/>
      <c r="D187" s="446">
        <f>SUM(D15)</f>
        <v>36702.29</v>
      </c>
      <c r="E187" s="681"/>
      <c r="F187" s="563"/>
      <c r="G187" s="519"/>
      <c r="H187" s="520"/>
      <c r="J187" s="587"/>
    </row>
    <row r="188" spans="1:10" ht="15" outlineLevel="1" x14ac:dyDescent="0.25">
      <c r="A188" s="435" t="s">
        <v>567</v>
      </c>
      <c r="B188" s="436"/>
      <c r="C188" s="446" t="s">
        <v>131</v>
      </c>
      <c r="D188" s="446">
        <f>D180</f>
        <v>33769.112500000003</v>
      </c>
      <c r="E188" s="431"/>
      <c r="F188" s="431"/>
      <c r="J188" s="587"/>
    </row>
    <row r="189" spans="1:10" ht="15" outlineLevel="1" x14ac:dyDescent="0.25">
      <c r="A189" s="553" t="s">
        <v>575</v>
      </c>
      <c r="B189" s="554"/>
      <c r="C189" s="642"/>
      <c r="D189" s="446">
        <f>SUM(D187-D188)</f>
        <v>2933.177499999998</v>
      </c>
      <c r="E189" s="431"/>
      <c r="F189" s="431"/>
      <c r="J189" s="587"/>
    </row>
    <row r="190" spans="1:10" ht="15" outlineLevel="1" x14ac:dyDescent="0.25">
      <c r="A190" s="481"/>
      <c r="B190" s="447"/>
      <c r="C190" s="448"/>
      <c r="D190" s="448"/>
      <c r="E190" s="431"/>
      <c r="F190" s="431"/>
    </row>
    <row r="191" spans="1:10" s="424" customFormat="1" ht="15" outlineLevel="1" x14ac:dyDescent="0.25">
      <c r="A191" s="428"/>
      <c r="B191" s="447"/>
      <c r="C191" s="448"/>
      <c r="D191" s="448"/>
      <c r="E191" s="481"/>
      <c r="F191" s="481"/>
      <c r="I191" s="422"/>
    </row>
    <row r="192" spans="1:10" s="424" customFormat="1" ht="15" x14ac:dyDescent="0.25">
      <c r="A192" s="481"/>
      <c r="B192" s="447"/>
      <c r="C192" s="448"/>
      <c r="D192" s="448"/>
      <c r="E192" s="481"/>
      <c r="F192" s="481"/>
      <c r="I192" s="422"/>
    </row>
    <row r="193" spans="1:9" s="424" customFormat="1" ht="15" x14ac:dyDescent="0.25">
      <c r="A193" s="481"/>
      <c r="B193" s="447"/>
      <c r="C193" s="448"/>
      <c r="D193" s="448"/>
      <c r="E193" s="481"/>
      <c r="F193" s="481"/>
      <c r="I193" s="422"/>
    </row>
    <row r="194" spans="1:9" s="424" customFormat="1" ht="15" x14ac:dyDescent="0.25">
      <c r="A194" s="481"/>
      <c r="B194" s="447"/>
      <c r="C194" s="448"/>
      <c r="D194" s="448"/>
      <c r="E194" s="481"/>
      <c r="F194" s="481"/>
      <c r="I194" s="422"/>
    </row>
    <row r="195" spans="1:9" s="424" customFormat="1" ht="15" x14ac:dyDescent="0.25">
      <c r="A195" s="481"/>
      <c r="B195" s="447"/>
      <c r="C195" s="448"/>
      <c r="D195" s="448"/>
      <c r="E195" s="481"/>
      <c r="F195" s="481"/>
    </row>
    <row r="196" spans="1:9" s="424" customFormat="1" ht="15" x14ac:dyDescent="0.25">
      <c r="A196" s="481"/>
      <c r="B196" s="447"/>
      <c r="C196" s="448"/>
      <c r="D196" s="448"/>
      <c r="E196" s="481"/>
      <c r="F196" s="481"/>
    </row>
    <row r="197" spans="1:9" s="424" customFormat="1" ht="15" x14ac:dyDescent="0.25">
      <c r="A197" s="481"/>
      <c r="B197" s="447"/>
      <c r="C197" s="448"/>
      <c r="D197" s="448"/>
      <c r="E197" s="481"/>
      <c r="F197" s="481"/>
    </row>
    <row r="198" spans="1:9" s="424" customFormat="1" ht="15" x14ac:dyDescent="0.25">
      <c r="A198" s="481"/>
      <c r="B198" s="447"/>
      <c r="C198" s="448"/>
      <c r="D198" s="448"/>
      <c r="E198" s="481"/>
      <c r="F198" s="481"/>
    </row>
    <row r="199" spans="1:9" s="424" customFormat="1" ht="15" x14ac:dyDescent="0.25">
      <c r="A199" s="481"/>
      <c r="B199" s="447"/>
      <c r="C199" s="448"/>
      <c r="D199" s="448"/>
      <c r="E199" s="481"/>
      <c r="F199" s="481"/>
    </row>
    <row r="200" spans="1:9" s="424" customFormat="1" ht="15" x14ac:dyDescent="0.25">
      <c r="A200" s="428"/>
      <c r="B200" s="447"/>
      <c r="C200" s="448"/>
      <c r="D200" s="448"/>
      <c r="E200" s="481"/>
      <c r="F200" s="481"/>
    </row>
    <row r="201" spans="1:9" s="424" customFormat="1" ht="15" x14ac:dyDescent="0.25">
      <c r="A201" s="428"/>
      <c r="B201" s="447"/>
      <c r="C201" s="448"/>
      <c r="D201" s="448"/>
      <c r="E201" s="481"/>
      <c r="F201" s="481"/>
    </row>
    <row r="202" spans="1:9" s="424" customFormat="1" ht="15" x14ac:dyDescent="0.25">
      <c r="A202" s="428"/>
      <c r="B202" s="447"/>
      <c r="C202" s="448"/>
      <c r="D202" s="448"/>
      <c r="E202" s="481"/>
      <c r="F202" s="481"/>
    </row>
    <row r="203" spans="1:9" s="424" customFormat="1" ht="15" x14ac:dyDescent="0.25">
      <c r="A203" s="428"/>
      <c r="B203" s="447"/>
      <c r="C203" s="448"/>
      <c r="D203" s="448"/>
      <c r="E203" s="481"/>
      <c r="F203" s="481"/>
    </row>
    <row r="204" spans="1:9" s="424" customFormat="1" ht="15" x14ac:dyDescent="0.25">
      <c r="A204" s="428"/>
      <c r="B204" s="447"/>
      <c r="C204" s="448"/>
      <c r="D204" s="448"/>
      <c r="E204" s="481"/>
      <c r="F204" s="481"/>
    </row>
    <row r="205" spans="1:9" s="424" customFormat="1" ht="15" x14ac:dyDescent="0.25">
      <c r="A205" s="428"/>
      <c r="B205" s="447"/>
      <c r="C205" s="448"/>
      <c r="D205" s="448"/>
      <c r="E205" s="481"/>
      <c r="F205" s="481"/>
    </row>
    <row r="206" spans="1:9" s="424" customFormat="1" ht="15" x14ac:dyDescent="0.25">
      <c r="A206" s="428"/>
      <c r="B206" s="447"/>
      <c r="C206" s="448"/>
      <c r="D206" s="448"/>
      <c r="E206" s="481"/>
      <c r="F206" s="481"/>
    </row>
    <row r="207" spans="1:9" ht="15" x14ac:dyDescent="0.25">
      <c r="A207" s="432"/>
      <c r="B207" s="440"/>
      <c r="C207" s="430"/>
      <c r="D207" s="430"/>
      <c r="E207" s="431"/>
      <c r="F207" s="431"/>
    </row>
    <row r="208" spans="1:9" hidden="1" outlineLevel="1" x14ac:dyDescent="0.25">
      <c r="A208" s="420"/>
    </row>
    <row r="209" spans="1:4" hidden="1" outlineLevel="1" x14ac:dyDescent="0.25"/>
    <row r="210" spans="1:4" s="424" customFormat="1" hidden="1" outlineLevel="1" x14ac:dyDescent="0.25">
      <c r="A210" s="420"/>
      <c r="B210" s="427"/>
      <c r="C210" s="425"/>
      <c r="D210" s="425"/>
    </row>
    <row r="211" spans="1:4" s="424" customFormat="1" hidden="1" outlineLevel="1" x14ac:dyDescent="0.25">
      <c r="A211" s="420"/>
      <c r="B211" s="427"/>
      <c r="C211" s="425"/>
      <c r="D211" s="425"/>
    </row>
    <row r="212" spans="1:4" hidden="1" outlineLevel="1" x14ac:dyDescent="0.25"/>
    <row r="213" spans="1:4" hidden="1" outlineLevel="1" x14ac:dyDescent="0.25"/>
    <row r="214" spans="1:4" hidden="1" outlineLevel="1" x14ac:dyDescent="0.25"/>
    <row r="215" spans="1:4" hidden="1" outlineLevel="1" x14ac:dyDescent="0.25"/>
    <row r="216" spans="1:4" hidden="1" outlineLevel="1" x14ac:dyDescent="0.25">
      <c r="A216" s="420"/>
      <c r="B216" s="427"/>
      <c r="C216" s="425"/>
      <c r="D216" s="425"/>
    </row>
    <row r="217" spans="1:4" s="424" customFormat="1" hidden="1" outlineLevel="1" x14ac:dyDescent="0.25">
      <c r="A217" s="420"/>
      <c r="B217" s="427"/>
      <c r="C217" s="425"/>
      <c r="D217" s="425"/>
    </row>
    <row r="218" spans="1:4" s="424" customFormat="1" collapsed="1" x14ac:dyDescent="0.25">
      <c r="A218" s="423"/>
      <c r="B218" s="426"/>
      <c r="C218" s="421"/>
      <c r="D218" s="421"/>
    </row>
  </sheetData>
  <protectedRanges>
    <protectedRange password="C753" sqref="L157:IC157" name="Staffcontractorscost2"/>
    <protectedRange password="C753" sqref="L153:IC153" name="Total tenant2"/>
    <protectedRange password="C753" sqref="L147:IC147" name="Total income2"/>
    <protectedRange password="C753" sqref="L113:IC113" name="Admin service cost"/>
    <protectedRange password="C753" sqref="L64:IC64" name="Total estate maintenance"/>
    <protectedRange password="C753" sqref="L25:IC25" name="Total income"/>
    <protectedRange password="C753" sqref="L115:IC115" name="Total SC"/>
    <protectedRange password="C753" sqref="L145:IC145" name="Improvement"/>
    <protectedRange password="C753" sqref="L151:IC151 I190:I194" name="Total service2"/>
    <protectedRange password="C753" sqref="L155:IC155" name="Totalimprovement2"/>
    <protectedRange password="C753" sqref="L159:IC159" name="Netsurplus"/>
    <protectedRange password="C753" sqref="L166:IC180" name="Last box"/>
    <protectedRange password="C753" sqref="A157:D157 J157:K157" name="Staffcontractorscost2_3"/>
    <protectedRange password="C753" sqref="A153:D153 J153:K153" name="Total tenant2_3"/>
    <protectedRange password="C753" sqref="J147:K147 A147:H147" name="Total income2_3"/>
    <protectedRange password="C753" sqref="J113:K113 A113:D113" name="Admin service cost_3"/>
    <protectedRange password="C753" sqref="J64:K64 A64:H64" name="Total estate maintenance_3"/>
    <protectedRange password="C753" sqref="A25:D25 I25:K25" name="Total income_2"/>
    <protectedRange password="C753" sqref="A115:B115 I115:K115" name="Total SC_3"/>
    <protectedRange password="C753" sqref="J145:K145 A145:D145" name="Improvement_3"/>
    <protectedRange password="C753" sqref="A151:D151 I151:K151 I152:I189" name="Total service2_3"/>
    <protectedRange password="C753" sqref="A155:D155 J155:K155" name="Totalimprovement2_3"/>
    <protectedRange password="C753" sqref="J159:K159 A159:B159" name="Netsurplus_3"/>
    <protectedRange password="C753" sqref="C178:D180 J166:K180 E176:H178 A166:B180 C166:D176 E172:H172" name="Last box_7"/>
  </protectedRanges>
  <conditionalFormatting sqref="A189">
    <cfRule type="cellIs" dxfId="43" priority="7" stopIfTrue="1" operator="lessThan">
      <formula>0</formula>
    </cfRule>
  </conditionalFormatting>
  <conditionalFormatting sqref="B1 E2 E37:H37 E64:H64 C116:D147 G130:H130 E130:F131 E147:H147 B148:C148 C149:D159 E159:H159 C163:D171 C173:D175 E177:H178 C178:D182 C184:D206">
    <cfRule type="cellIs" dxfId="42" priority="10" stopIfTrue="1" operator="lessThan">
      <formula>0</formula>
    </cfRule>
  </conditionalFormatting>
  <conditionalFormatting sqref="C3:D114">
    <cfRule type="cellIs" dxfId="41" priority="1" stopIfTrue="1" operator="lessThan">
      <formula>0</formula>
    </cfRule>
  </conditionalFormatting>
  <conditionalFormatting sqref="C160:D160">
    <cfRule type="cellIs" dxfId="40" priority="2" stopIfTrue="1" operator="equal">
      <formula>0</formula>
    </cfRule>
  </conditionalFormatting>
  <conditionalFormatting sqref="C210:D65519">
    <cfRule type="cellIs" dxfId="39" priority="35" stopIfTrue="1" operator="lessThan">
      <formula>0</formula>
    </cfRule>
  </conditionalFormatting>
  <conditionalFormatting sqref="G3">
    <cfRule type="cellIs" dxfId="38" priority="3" stopIfTrue="1" operator="lessThan">
      <formula>0</formula>
    </cfRule>
  </conditionalFormatting>
  <conditionalFormatting sqref="G4 G27 G39 G66 G86 G117 G133 G165">
    <cfRule type="cellIs" dxfId="37" priority="9" stopIfTrue="1" operator="lessThan">
      <formula>0</formula>
    </cfRule>
  </conditionalFormatting>
  <conditionalFormatting sqref="G5:G24 G28:G36 G40:G63 G68:G83 G87:G112 G118:G129">
    <cfRule type="cellIs" dxfId="36" priority="8" stopIfTrue="1" operator="lessThan">
      <formula>0</formula>
    </cfRule>
  </conditionalFormatting>
  <conditionalFormatting sqref="G67 G131 G134:G145 G161">
    <cfRule type="cellIs" dxfId="35" priority="11" stopIfTrue="1" operator="lessThan">
      <formula>0</formula>
    </cfRule>
  </conditionalFormatting>
  <conditionalFormatting sqref="G166:G171 G173:G175 G179:G180">
    <cfRule type="cellIs" dxfId="34" priority="6" stopIfTrue="1" operator="lessThan">
      <formula>0</formula>
    </cfRule>
  </conditionalFormatting>
  <conditionalFormatting sqref="H3:H24 H27:H36 H39:H63 H66:H83 H86:H112 H117:H129 H131 H133:H145 H165:H169 H173:H175 H179:H180">
    <cfRule type="cellIs" dxfId="33" priority="12" stopIfTrue="1" operator="lessThan">
      <formula>0</formula>
    </cfRule>
  </conditionalFormatting>
  <conditionalFormatting sqref="H161">
    <cfRule type="cellIs" dxfId="32" priority="4" stopIfTrue="1" operator="lessThan">
      <formula>0</formula>
    </cfRule>
  </conditionalFormatting>
  <conditionalFormatting sqref="H162">
    <cfRule type="cellIs" dxfId="31" priority="5" stopIfTrue="1" operator="greaterThan">
      <formula>0</formula>
    </cfRule>
  </conditionalFormatting>
  <pageMargins left="0.23622047244094491" right="3.937007874015748E-2" top="0.35433070866141736" bottom="0.19685039370078741" header="0.23622047244094491" footer="0.19685039370078741"/>
  <pageSetup paperSize="9" scale="63" orientation="landscape" r:id="rId1"/>
  <headerFooter alignWithMargins="0">
    <oddHeader>&amp;L&amp;D&amp;CPage &amp;P&amp;R&amp;F</oddHeader>
  </headerFooter>
  <rowBreaks count="3" manualBreakCount="3">
    <brk id="65" max="16383" man="1"/>
    <brk id="131" max="16383" man="1"/>
    <brk id="218" max="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5447-BC91-468B-ACA7-2B17E06E2AD2}">
  <dimension ref="A1:G155"/>
  <sheetViews>
    <sheetView tabSelected="1" topLeftCell="A64" workbookViewId="0">
      <selection activeCell="E77" sqref="E77"/>
    </sheetView>
  </sheetViews>
  <sheetFormatPr defaultRowHeight="13.2" x14ac:dyDescent="0.25"/>
  <cols>
    <col min="1" max="1" width="43.5546875" customWidth="1"/>
    <col min="2" max="2" width="14.5546875" customWidth="1"/>
    <col min="3" max="3" width="23.44140625" customWidth="1"/>
    <col min="4" max="4" width="0.109375" customWidth="1"/>
    <col min="5" max="5" width="22" customWidth="1"/>
    <col min="6" max="6" width="36.33203125" bestFit="1" customWidth="1"/>
    <col min="7" max="7" width="14.88671875" bestFit="1" customWidth="1"/>
    <col min="8" max="8" width="14.6640625" bestFit="1" customWidth="1"/>
  </cols>
  <sheetData>
    <row r="1" spans="1:7" ht="18" thickBot="1" x14ac:dyDescent="0.35">
      <c r="A1" s="688" t="s">
        <v>155</v>
      </c>
      <c r="C1" s="429" t="s">
        <v>611</v>
      </c>
      <c r="D1" s="430"/>
      <c r="E1" s="705">
        <v>1.069</v>
      </c>
      <c r="F1" s="483" t="s">
        <v>612</v>
      </c>
    </row>
    <row r="2" spans="1:7" ht="15.6" thickBot="1" x14ac:dyDescent="0.3">
      <c r="A2" s="432"/>
      <c r="B2" s="432"/>
      <c r="C2" s="430"/>
      <c r="D2" s="430"/>
      <c r="E2" s="431"/>
      <c r="F2" s="422"/>
    </row>
    <row r="3" spans="1:7" ht="15.6" thickBot="1" x14ac:dyDescent="0.3">
      <c r="A3" s="524" t="s">
        <v>1</v>
      </c>
      <c r="B3" s="489" t="s">
        <v>2</v>
      </c>
      <c r="C3" s="488" t="s">
        <v>605</v>
      </c>
      <c r="D3" s="488" t="s">
        <v>613</v>
      </c>
      <c r="E3" s="490" t="s">
        <v>614</v>
      </c>
    </row>
    <row r="4" spans="1:7" ht="15.6" thickBot="1" x14ac:dyDescent="0.3">
      <c r="A4" s="459" t="s">
        <v>3</v>
      </c>
      <c r="B4" s="487"/>
      <c r="C4" s="486"/>
      <c r="D4" s="486"/>
      <c r="E4" s="700"/>
    </row>
    <row r="5" spans="1:7" ht="15" x14ac:dyDescent="0.25">
      <c r="A5" s="592" t="s">
        <v>588</v>
      </c>
      <c r="B5" s="593">
        <v>4000</v>
      </c>
      <c r="C5" s="706">
        <v>35049.93</v>
      </c>
      <c r="D5" s="434">
        <f>C5</f>
        <v>35049.93</v>
      </c>
      <c r="E5" s="718">
        <v>35642.29</v>
      </c>
      <c r="F5" s="615"/>
    </row>
    <row r="6" spans="1:7" ht="15" x14ac:dyDescent="0.25">
      <c r="A6" s="594" t="s">
        <v>6</v>
      </c>
      <c r="B6" s="436">
        <v>4002</v>
      </c>
      <c r="C6" s="707">
        <v>4967.0600000000004</v>
      </c>
      <c r="D6" s="434">
        <f t="shared" ref="D6:D8" si="0">C6</f>
        <v>4967.0600000000004</v>
      </c>
      <c r="E6" s="719">
        <v>5051</v>
      </c>
      <c r="G6" s="590"/>
    </row>
    <row r="7" spans="1:7" ht="15" x14ac:dyDescent="0.25">
      <c r="A7" s="594" t="s">
        <v>7</v>
      </c>
      <c r="B7" s="436">
        <v>4003</v>
      </c>
      <c r="C7" s="707">
        <v>28831.74</v>
      </c>
      <c r="D7" s="434">
        <f t="shared" si="0"/>
        <v>28831.74</v>
      </c>
      <c r="E7" s="719">
        <v>29318.99</v>
      </c>
      <c r="G7" s="590"/>
    </row>
    <row r="8" spans="1:7" ht="15" x14ac:dyDescent="0.25">
      <c r="A8" s="594" t="s">
        <v>581</v>
      </c>
      <c r="B8" s="436">
        <v>4005</v>
      </c>
      <c r="C8" s="707">
        <v>29488.51</v>
      </c>
      <c r="D8" s="434">
        <f t="shared" si="0"/>
        <v>29488.51</v>
      </c>
      <c r="E8" s="719">
        <v>29986.86</v>
      </c>
      <c r="G8" s="590"/>
    </row>
    <row r="9" spans="1:7" ht="15" x14ac:dyDescent="0.25">
      <c r="A9" s="594" t="s">
        <v>13</v>
      </c>
      <c r="B9" s="436">
        <v>4010</v>
      </c>
      <c r="C9" s="707">
        <v>56214.81</v>
      </c>
      <c r="D9" s="434">
        <f>C9-3478.85</f>
        <v>52735.96</v>
      </c>
      <c r="E9" s="720">
        <v>57164.84</v>
      </c>
      <c r="G9" s="590"/>
    </row>
    <row r="10" spans="1:7" ht="15" x14ac:dyDescent="0.25">
      <c r="A10" s="594" t="s">
        <v>14</v>
      </c>
      <c r="B10" s="436">
        <v>4030</v>
      </c>
      <c r="C10" s="707">
        <v>11.449020000000001</v>
      </c>
      <c r="D10" s="699">
        <v>2</v>
      </c>
      <c r="E10" s="720">
        <v>2</v>
      </c>
      <c r="G10" s="590"/>
    </row>
    <row r="11" spans="1:7" ht="15" x14ac:dyDescent="0.25">
      <c r="A11" s="594" t="s">
        <v>19</v>
      </c>
      <c r="B11" s="436">
        <v>4085</v>
      </c>
      <c r="C11" s="707">
        <v>120</v>
      </c>
      <c r="D11" s="699">
        <v>0</v>
      </c>
      <c r="E11" s="720">
        <v>0</v>
      </c>
      <c r="G11" s="590"/>
    </row>
    <row r="12" spans="1:7" ht="15" x14ac:dyDescent="0.25">
      <c r="A12" s="594" t="s">
        <v>272</v>
      </c>
      <c r="B12" s="436">
        <v>4090</v>
      </c>
      <c r="C12" s="707">
        <v>2900</v>
      </c>
      <c r="D12" s="699">
        <v>0</v>
      </c>
      <c r="E12" s="720">
        <v>1000</v>
      </c>
      <c r="G12" s="590"/>
    </row>
    <row r="13" spans="1:7" ht="15.6" thickBot="1" x14ac:dyDescent="0.3">
      <c r="A13" s="595" t="s">
        <v>20</v>
      </c>
      <c r="B13" s="596">
        <v>4095</v>
      </c>
      <c r="C13" s="711">
        <v>0</v>
      </c>
      <c r="D13" s="682">
        <v>0</v>
      </c>
      <c r="E13" s="720">
        <v>0</v>
      </c>
      <c r="G13" s="590"/>
    </row>
    <row r="14" spans="1:7" ht="15.6" thickBot="1" x14ac:dyDescent="0.3">
      <c r="A14" s="461" t="s">
        <v>22</v>
      </c>
      <c r="B14" s="485"/>
      <c r="C14" s="484">
        <f>SUM(C5:C13)</f>
        <v>157583.49901999999</v>
      </c>
      <c r="D14" s="484">
        <f>SUM(D5:D13)</f>
        <v>151075.19999999998</v>
      </c>
      <c r="E14" s="484">
        <f>SUM(E5:E13)</f>
        <v>158165.97999999998</v>
      </c>
      <c r="G14" s="590"/>
    </row>
    <row r="15" spans="1:7" ht="15.6" thickBot="1" x14ac:dyDescent="0.3">
      <c r="A15" s="562"/>
      <c r="B15" s="440"/>
      <c r="C15" s="721"/>
      <c r="D15" s="721"/>
      <c r="E15" s="722"/>
    </row>
    <row r="16" spans="1:7" ht="15.6" thickBot="1" x14ac:dyDescent="0.3">
      <c r="A16" s="570" t="s">
        <v>160</v>
      </c>
      <c r="B16" s="571" t="s">
        <v>2</v>
      </c>
      <c r="C16" s="498" t="str">
        <f>C3</f>
        <v>Budget 2024-25</v>
      </c>
      <c r="D16" s="498" t="str">
        <f>D3</f>
        <v>EST Actual 2024-25</v>
      </c>
      <c r="E16" s="498" t="str">
        <f>E3</f>
        <v>Budget 2025-26</v>
      </c>
    </row>
    <row r="17" spans="1:5" ht="15" x14ac:dyDescent="0.25">
      <c r="A17" s="697" t="s">
        <v>23</v>
      </c>
      <c r="B17" s="698">
        <v>6000</v>
      </c>
      <c r="C17" s="434">
        <v>8500</v>
      </c>
      <c r="D17" s="443">
        <f>6745.61*12/9</f>
        <v>8994.1466666666656</v>
      </c>
      <c r="E17" s="723">
        <v>10000</v>
      </c>
    </row>
    <row r="18" spans="1:5" ht="15" x14ac:dyDescent="0.25">
      <c r="A18" s="694" t="s">
        <v>25</v>
      </c>
      <c r="B18" s="693">
        <v>6020</v>
      </c>
      <c r="C18" s="446">
        <v>5000</v>
      </c>
      <c r="D18" s="685">
        <f>1850*12/9</f>
        <v>2466.6666666666665</v>
      </c>
      <c r="E18" s="701">
        <v>3000</v>
      </c>
    </row>
    <row r="19" spans="1:5" ht="15" x14ac:dyDescent="0.25">
      <c r="A19" s="694" t="s">
        <v>27</v>
      </c>
      <c r="B19" s="693">
        <v>6026</v>
      </c>
      <c r="C19" s="446">
        <v>1200</v>
      </c>
      <c r="D19" s="685"/>
      <c r="E19" s="701">
        <v>800</v>
      </c>
    </row>
    <row r="20" spans="1:5" ht="15" x14ac:dyDescent="0.25">
      <c r="A20" s="694" t="s">
        <v>28</v>
      </c>
      <c r="B20" s="693">
        <v>6027</v>
      </c>
      <c r="C20" s="446">
        <v>1000</v>
      </c>
      <c r="D20" s="685">
        <f>780*12/10</f>
        <v>936</v>
      </c>
      <c r="E20" s="701">
        <v>1000</v>
      </c>
    </row>
    <row r="21" spans="1:5" ht="15" x14ac:dyDescent="0.25">
      <c r="A21" s="694" t="s">
        <v>35</v>
      </c>
      <c r="B21" s="693">
        <v>6060</v>
      </c>
      <c r="C21" s="446">
        <v>750</v>
      </c>
      <c r="D21" s="685">
        <f>1379.21*12/9</f>
        <v>1838.9466666666667</v>
      </c>
      <c r="E21" s="701">
        <v>750</v>
      </c>
    </row>
    <row r="22" spans="1:5" ht="15" x14ac:dyDescent="0.25">
      <c r="A22" s="694" t="s">
        <v>63</v>
      </c>
      <c r="B22" s="692">
        <v>5043</v>
      </c>
      <c r="C22" s="715">
        <v>19000</v>
      </c>
      <c r="D22" s="691">
        <f>13830*12/9</f>
        <v>18440</v>
      </c>
      <c r="E22" s="724">
        <v>19800</v>
      </c>
    </row>
    <row r="23" spans="1:5" ht="15" x14ac:dyDescent="0.25">
      <c r="A23" s="694" t="s">
        <v>168</v>
      </c>
      <c r="B23" s="693">
        <v>6040</v>
      </c>
      <c r="C23" s="446">
        <v>500</v>
      </c>
      <c r="D23" s="685"/>
      <c r="E23" s="701">
        <v>0</v>
      </c>
    </row>
    <row r="24" spans="1:5" ht="15.6" thickBot="1" x14ac:dyDescent="0.3">
      <c r="A24" s="695" t="s">
        <v>42</v>
      </c>
      <c r="B24" s="696">
        <v>6140</v>
      </c>
      <c r="C24" s="606">
        <v>2000</v>
      </c>
      <c r="D24" s="686"/>
      <c r="E24" s="725">
        <v>1000</v>
      </c>
    </row>
    <row r="25" spans="1:5" ht="15.6" thickBot="1" x14ac:dyDescent="0.3">
      <c r="A25" s="573" t="s">
        <v>60</v>
      </c>
      <c r="B25" s="574"/>
      <c r="C25" s="684">
        <f t="shared" ref="C25" si="1">SUM(C17:C24)</f>
        <v>37950</v>
      </c>
      <c r="D25" s="684">
        <f>SUM(D17:D24)</f>
        <v>32675.759999999998</v>
      </c>
      <c r="E25" s="684">
        <f t="shared" ref="E25" si="2">SUM(E17:E24)</f>
        <v>36350</v>
      </c>
    </row>
    <row r="26" spans="1:5" ht="15.6" thickBot="1" x14ac:dyDescent="0.3">
      <c r="A26" s="562"/>
      <c r="B26" s="440"/>
      <c r="C26" s="721"/>
      <c r="D26" s="721"/>
      <c r="E26" s="726" t="s">
        <v>131</v>
      </c>
    </row>
    <row r="27" spans="1:5" ht="15.6" thickBot="1" x14ac:dyDescent="0.3">
      <c r="A27" s="573" t="s">
        <v>546</v>
      </c>
      <c r="B27" s="496" t="s">
        <v>2</v>
      </c>
      <c r="C27" s="498" t="str">
        <f>C3</f>
        <v>Budget 2024-25</v>
      </c>
      <c r="D27" s="498" t="str">
        <f>D16</f>
        <v>EST Actual 2024-25</v>
      </c>
      <c r="E27" s="498" t="str">
        <f>E16</f>
        <v>Budget 2025-26</v>
      </c>
    </row>
    <row r="28" spans="1:5" ht="15" x14ac:dyDescent="0.25">
      <c r="A28" s="597" t="s">
        <v>178</v>
      </c>
      <c r="B28" s="598">
        <v>6000</v>
      </c>
      <c r="C28" s="708">
        <v>4250</v>
      </c>
      <c r="D28" s="443">
        <f>3200*12/9</f>
        <v>4266.666666666667</v>
      </c>
      <c r="E28" s="727">
        <v>5000</v>
      </c>
    </row>
    <row r="29" spans="1:5" ht="15" x14ac:dyDescent="0.25">
      <c r="A29" s="594" t="s">
        <v>34</v>
      </c>
      <c r="B29" s="436">
        <v>6040</v>
      </c>
      <c r="C29" s="708">
        <v>0</v>
      </c>
      <c r="D29" s="443"/>
      <c r="E29" s="727">
        <v>0</v>
      </c>
    </row>
    <row r="30" spans="1:5" ht="15" x14ac:dyDescent="0.25">
      <c r="A30" s="594" t="s">
        <v>25</v>
      </c>
      <c r="B30" s="436">
        <v>6020</v>
      </c>
      <c r="C30" s="708">
        <v>10500</v>
      </c>
      <c r="D30" s="443">
        <f>2660.65*12/9</f>
        <v>3547.5333333333338</v>
      </c>
      <c r="E30" s="727">
        <v>9500</v>
      </c>
    </row>
    <row r="31" spans="1:5" ht="15" x14ac:dyDescent="0.25">
      <c r="A31" s="594" t="s">
        <v>287</v>
      </c>
      <c r="B31" s="436">
        <v>6026</v>
      </c>
      <c r="C31" s="708">
        <v>250</v>
      </c>
      <c r="D31" s="443">
        <f>126*12/9</f>
        <v>168</v>
      </c>
      <c r="E31" s="727">
        <v>250</v>
      </c>
    </row>
    <row r="32" spans="1:5" ht="15" x14ac:dyDescent="0.25">
      <c r="A32" s="594" t="s">
        <v>28</v>
      </c>
      <c r="B32" s="436">
        <v>6027</v>
      </c>
      <c r="C32" s="708">
        <v>1000</v>
      </c>
      <c r="D32" s="443">
        <f>780*12/9</f>
        <v>1040</v>
      </c>
      <c r="E32" s="727">
        <v>10</v>
      </c>
    </row>
    <row r="33" spans="1:5" ht="15" x14ac:dyDescent="0.25">
      <c r="A33" s="594" t="s">
        <v>298</v>
      </c>
      <c r="B33" s="436">
        <v>6034</v>
      </c>
      <c r="C33" s="708">
        <v>450</v>
      </c>
      <c r="D33" s="443"/>
      <c r="E33" s="727">
        <v>450</v>
      </c>
    </row>
    <row r="34" spans="1:5" ht="15" x14ac:dyDescent="0.25">
      <c r="A34" s="594" t="s">
        <v>29</v>
      </c>
      <c r="B34" s="436">
        <v>6035</v>
      </c>
      <c r="C34" s="708">
        <v>1200</v>
      </c>
      <c r="D34" s="443"/>
      <c r="E34" s="727">
        <v>800</v>
      </c>
    </row>
    <row r="35" spans="1:5" ht="15" x14ac:dyDescent="0.25">
      <c r="A35" s="594" t="s">
        <v>600</v>
      </c>
      <c r="B35" s="436">
        <v>6039</v>
      </c>
      <c r="C35" s="708">
        <v>0</v>
      </c>
      <c r="D35" s="691"/>
      <c r="E35" s="727">
        <v>0</v>
      </c>
    </row>
    <row r="36" spans="1:5" ht="15" x14ac:dyDescent="0.25">
      <c r="A36" s="594" t="s">
        <v>601</v>
      </c>
      <c r="B36" s="436">
        <v>6039</v>
      </c>
      <c r="C36" s="716">
        <v>0</v>
      </c>
      <c r="D36" s="691"/>
      <c r="E36" s="728">
        <v>0</v>
      </c>
    </row>
    <row r="37" spans="1:5" ht="15" x14ac:dyDescent="0.25">
      <c r="A37" s="594" t="s">
        <v>36</v>
      </c>
      <c r="B37" s="436">
        <v>6061</v>
      </c>
      <c r="C37" s="708">
        <v>450</v>
      </c>
      <c r="D37" s="443">
        <f>60*12/9</f>
        <v>80</v>
      </c>
      <c r="E37" s="727">
        <v>450</v>
      </c>
    </row>
    <row r="38" spans="1:5" ht="15" x14ac:dyDescent="0.25">
      <c r="A38" s="594" t="s">
        <v>296</v>
      </c>
      <c r="B38" s="436">
        <v>6045</v>
      </c>
      <c r="C38" s="708">
        <v>225</v>
      </c>
      <c r="D38" s="443">
        <v>0</v>
      </c>
      <c r="E38" s="727">
        <v>225</v>
      </c>
    </row>
    <row r="39" spans="1:5" ht="15" x14ac:dyDescent="0.25">
      <c r="A39" s="594" t="s">
        <v>37</v>
      </c>
      <c r="B39" s="436">
        <v>6080</v>
      </c>
      <c r="C39" s="708">
        <v>250</v>
      </c>
      <c r="D39" s="443"/>
      <c r="E39" s="727">
        <v>250</v>
      </c>
    </row>
    <row r="40" spans="1:5" ht="15" x14ac:dyDescent="0.25">
      <c r="A40" s="594" t="s">
        <v>38</v>
      </c>
      <c r="B40" s="436">
        <v>6082</v>
      </c>
      <c r="C40" s="708">
        <v>250</v>
      </c>
      <c r="D40" s="443"/>
      <c r="E40" s="727">
        <v>250</v>
      </c>
    </row>
    <row r="41" spans="1:5" ht="15" x14ac:dyDescent="0.25">
      <c r="A41" s="594" t="s">
        <v>41</v>
      </c>
      <c r="B41" s="436">
        <v>6130</v>
      </c>
      <c r="C41" s="708">
        <v>4000</v>
      </c>
      <c r="D41" s="443">
        <f>5157.36*12/9</f>
        <v>6876.48</v>
      </c>
      <c r="E41" s="727">
        <v>7000</v>
      </c>
    </row>
    <row r="42" spans="1:5" ht="15" x14ac:dyDescent="0.25">
      <c r="A42" s="594" t="s">
        <v>42</v>
      </c>
      <c r="B42" s="436">
        <v>6140</v>
      </c>
      <c r="C42" s="708">
        <v>50</v>
      </c>
      <c r="D42" s="443">
        <f>154.16*12/9</f>
        <v>205.54666666666668</v>
      </c>
      <c r="E42" s="727">
        <v>50</v>
      </c>
    </row>
    <row r="43" spans="1:5" ht="15" x14ac:dyDescent="0.25">
      <c r="A43" s="594" t="s">
        <v>116</v>
      </c>
      <c r="B43" s="436">
        <v>6315</v>
      </c>
      <c r="C43" s="708">
        <v>0</v>
      </c>
      <c r="D43" s="443"/>
      <c r="E43" s="727">
        <v>0</v>
      </c>
    </row>
    <row r="44" spans="1:5" ht="15" x14ac:dyDescent="0.25">
      <c r="A44" s="594" t="s">
        <v>44</v>
      </c>
      <c r="B44" s="436">
        <v>6142</v>
      </c>
      <c r="C44" s="708">
        <v>0</v>
      </c>
      <c r="D44" s="443"/>
      <c r="E44" s="727">
        <v>0</v>
      </c>
    </row>
    <row r="45" spans="1:5" ht="15" x14ac:dyDescent="0.25">
      <c r="A45" s="594" t="s">
        <v>45</v>
      </c>
      <c r="B45" s="436">
        <v>6147</v>
      </c>
      <c r="C45" s="708">
        <v>2000</v>
      </c>
      <c r="D45" s="443">
        <f>40.99*12/9</f>
        <v>54.653333333333336</v>
      </c>
      <c r="E45" s="727">
        <v>1000</v>
      </c>
    </row>
    <row r="46" spans="1:5" ht="15" x14ac:dyDescent="0.25">
      <c r="A46" s="594" t="s">
        <v>606</v>
      </c>
      <c r="B46" s="436">
        <v>6150</v>
      </c>
      <c r="C46" s="708"/>
      <c r="D46" s="443"/>
      <c r="E46" s="727"/>
    </row>
    <row r="47" spans="1:5" ht="15" x14ac:dyDescent="0.25">
      <c r="A47" s="594" t="s">
        <v>47</v>
      </c>
      <c r="B47" s="436">
        <v>6160</v>
      </c>
      <c r="C47" s="708">
        <v>2500</v>
      </c>
      <c r="D47" s="443">
        <f>2000*12/9</f>
        <v>2666.6666666666665</v>
      </c>
      <c r="E47" s="727">
        <v>2500</v>
      </c>
    </row>
    <row r="48" spans="1:5" ht="15" x14ac:dyDescent="0.25">
      <c r="A48" s="594" t="s">
        <v>50</v>
      </c>
      <c r="B48" s="436">
        <v>6175</v>
      </c>
      <c r="C48" s="708">
        <v>2200</v>
      </c>
      <c r="D48" s="443">
        <f>792.75*12/9</f>
        <v>1057</v>
      </c>
      <c r="E48" s="727">
        <v>2200</v>
      </c>
    </row>
    <row r="49" spans="1:7" ht="15" x14ac:dyDescent="0.25">
      <c r="A49" s="594" t="s">
        <v>52</v>
      </c>
      <c r="B49" s="436">
        <v>6183</v>
      </c>
      <c r="C49" s="708">
        <v>100</v>
      </c>
      <c r="D49" s="443"/>
      <c r="E49" s="727">
        <v>100</v>
      </c>
    </row>
    <row r="50" spans="1:7" ht="15.6" thickBot="1" x14ac:dyDescent="0.3">
      <c r="A50" s="595" t="s">
        <v>54</v>
      </c>
      <c r="B50" s="596">
        <v>6190</v>
      </c>
      <c r="C50" s="708">
        <v>1250</v>
      </c>
      <c r="D50" s="443">
        <f>465*12/9</f>
        <v>620</v>
      </c>
      <c r="E50" s="727">
        <v>1250</v>
      </c>
    </row>
    <row r="51" spans="1:7" ht="15.6" thickBot="1" x14ac:dyDescent="0.3">
      <c r="A51" s="573" t="s">
        <v>60</v>
      </c>
      <c r="B51" s="496"/>
      <c r="C51" s="684">
        <f>SUM(C28:C50)</f>
        <v>30925</v>
      </c>
      <c r="D51" s="497">
        <f>SUM(D28:D50)</f>
        <v>20582.546666666669</v>
      </c>
      <c r="E51" s="497">
        <f>SUM(E28:E50)</f>
        <v>31285</v>
      </c>
    </row>
    <row r="52" spans="1:7" ht="15.6" thickBot="1" x14ac:dyDescent="0.3">
      <c r="A52" s="729"/>
      <c r="B52" s="447"/>
      <c r="C52" s="730" t="s">
        <v>131</v>
      </c>
      <c r="D52" s="730"/>
      <c r="E52" s="726" t="s">
        <v>131</v>
      </c>
    </row>
    <row r="53" spans="1:7" ht="15.6" thickBot="1" x14ac:dyDescent="0.3">
      <c r="A53" s="573" t="s">
        <v>544</v>
      </c>
      <c r="B53" s="496" t="s">
        <v>2</v>
      </c>
      <c r="C53" s="498" t="str">
        <f>C3</f>
        <v>Budget 2024-25</v>
      </c>
      <c r="D53" s="498" t="str">
        <f>D27</f>
        <v>EST Actual 2024-25</v>
      </c>
      <c r="E53" s="498" t="str">
        <f>E27</f>
        <v>Budget 2025-26</v>
      </c>
    </row>
    <row r="54" spans="1:7" ht="15" x14ac:dyDescent="0.25">
      <c r="A54" s="729"/>
      <c r="B54" s="450"/>
      <c r="C54" s="452"/>
      <c r="D54" s="452"/>
      <c r="E54" s="731"/>
    </row>
    <row r="55" spans="1:7" ht="15" x14ac:dyDescent="0.25">
      <c r="A55" s="435" t="s">
        <v>615</v>
      </c>
      <c r="B55" s="436">
        <v>5002</v>
      </c>
      <c r="C55" s="742">
        <v>0</v>
      </c>
      <c r="D55" s="685"/>
      <c r="E55" s="701">
        <v>0</v>
      </c>
      <c r="F55" s="614"/>
    </row>
    <row r="56" spans="1:7" ht="15" x14ac:dyDescent="0.25">
      <c r="A56" s="453" t="s">
        <v>533</v>
      </c>
      <c r="B56" s="454">
        <v>5004</v>
      </c>
      <c r="C56" s="742">
        <v>0</v>
      </c>
      <c r="D56" s="443"/>
      <c r="E56" s="701">
        <f t="shared" ref="E56:E62" si="3">D56*$E$1</f>
        <v>0</v>
      </c>
      <c r="F56" s="613"/>
    </row>
    <row r="57" spans="1:7" ht="15" x14ac:dyDescent="0.25">
      <c r="A57" s="453" t="s">
        <v>534</v>
      </c>
      <c r="B57" s="454">
        <v>5004</v>
      </c>
      <c r="C57" s="742">
        <v>0</v>
      </c>
      <c r="D57" s="443"/>
      <c r="E57" s="701">
        <f t="shared" si="3"/>
        <v>0</v>
      </c>
      <c r="F57" s="613"/>
    </row>
    <row r="58" spans="1:7" ht="15" x14ac:dyDescent="0.25">
      <c r="A58" s="453" t="s">
        <v>607</v>
      </c>
      <c r="B58" s="454">
        <v>5005</v>
      </c>
      <c r="C58" s="742">
        <v>17000</v>
      </c>
      <c r="D58" s="443">
        <v>4680</v>
      </c>
      <c r="E58" s="701">
        <v>0</v>
      </c>
      <c r="F58" s="687"/>
      <c r="G58" s="613"/>
    </row>
    <row r="59" spans="1:7" ht="15" x14ac:dyDescent="0.25">
      <c r="A59" s="453" t="s">
        <v>608</v>
      </c>
      <c r="B59" s="454">
        <v>5001</v>
      </c>
      <c r="C59" s="742">
        <v>7500</v>
      </c>
      <c r="D59" s="443">
        <f>4440*12/9</f>
        <v>5920</v>
      </c>
      <c r="E59" s="701">
        <v>8500</v>
      </c>
      <c r="F59" s="20"/>
      <c r="G59" s="613"/>
    </row>
    <row r="60" spans="1:7" ht="15" x14ac:dyDescent="0.25">
      <c r="A60" s="453" t="s">
        <v>609</v>
      </c>
      <c r="B60" s="454">
        <v>5003</v>
      </c>
      <c r="C60" s="742">
        <v>4500</v>
      </c>
      <c r="D60" s="443">
        <f>13830*12/9</f>
        <v>18440</v>
      </c>
      <c r="E60" s="701">
        <v>20000</v>
      </c>
      <c r="F60" s="20"/>
      <c r="G60" s="613"/>
    </row>
    <row r="61" spans="1:7" ht="15" x14ac:dyDescent="0.25">
      <c r="A61" s="435" t="s">
        <v>536</v>
      </c>
      <c r="B61" s="454">
        <v>5020</v>
      </c>
      <c r="C61" s="742">
        <v>0</v>
      </c>
      <c r="D61" s="443"/>
      <c r="E61" s="701">
        <f t="shared" si="3"/>
        <v>0</v>
      </c>
      <c r="F61" s="20"/>
      <c r="G61" s="613"/>
    </row>
    <row r="62" spans="1:7" ht="15" x14ac:dyDescent="0.25">
      <c r="A62" s="435" t="s">
        <v>537</v>
      </c>
      <c r="B62" s="454">
        <v>5020</v>
      </c>
      <c r="C62" s="742">
        <v>0</v>
      </c>
      <c r="D62" s="443"/>
      <c r="E62" s="701">
        <f t="shared" si="3"/>
        <v>0</v>
      </c>
      <c r="F62" s="687"/>
    </row>
    <row r="63" spans="1:7" ht="15" x14ac:dyDescent="0.25">
      <c r="A63" s="435" t="s">
        <v>589</v>
      </c>
      <c r="B63" s="436">
        <v>5030</v>
      </c>
      <c r="C63" s="742">
        <v>725.16</v>
      </c>
      <c r="D63" s="691"/>
      <c r="E63" s="701">
        <v>850</v>
      </c>
      <c r="F63" s="687"/>
    </row>
    <row r="64" spans="1:7" ht="15" x14ac:dyDescent="0.25">
      <c r="A64" s="435" t="s">
        <v>591</v>
      </c>
      <c r="B64" s="436" t="s">
        <v>592</v>
      </c>
      <c r="C64" s="742">
        <v>500</v>
      </c>
      <c r="D64" s="443"/>
      <c r="E64" s="701">
        <v>500</v>
      </c>
    </row>
    <row r="65" spans="1:6" ht="15" x14ac:dyDescent="0.25">
      <c r="A65" s="435" t="s">
        <v>66</v>
      </c>
      <c r="B65" s="436">
        <v>7120</v>
      </c>
      <c r="C65" s="742">
        <v>100</v>
      </c>
      <c r="D65" s="443"/>
      <c r="E65" s="701">
        <v>100</v>
      </c>
    </row>
    <row r="66" spans="1:6" ht="15.6" thickBot="1" x14ac:dyDescent="0.3">
      <c r="A66" s="732" t="s">
        <v>572</v>
      </c>
      <c r="B66" s="733"/>
      <c r="C66" s="434">
        <v>0</v>
      </c>
      <c r="D66" s="443">
        <v>0</v>
      </c>
      <c r="E66" s="723">
        <v>0</v>
      </c>
    </row>
    <row r="67" spans="1:6" ht="15.6" thickBot="1" x14ac:dyDescent="0.3">
      <c r="A67" s="573" t="s">
        <v>60</v>
      </c>
      <c r="B67" s="496"/>
      <c r="C67" s="495">
        <f t="shared" ref="C67" si="4">SUM(C55:C66)</f>
        <v>30325.16</v>
      </c>
      <c r="D67" s="495">
        <f>SUM(D55:D66)</f>
        <v>29040</v>
      </c>
      <c r="E67" s="495">
        <f>SUM(E55:E66)</f>
        <v>29950</v>
      </c>
    </row>
    <row r="68" spans="1:6" ht="15.6" thickBot="1" x14ac:dyDescent="0.3">
      <c r="A68" s="729"/>
      <c r="B68" s="447"/>
      <c r="C68" s="730" t="s">
        <v>131</v>
      </c>
      <c r="D68" s="730"/>
      <c r="E68" s="726" t="s">
        <v>131</v>
      </c>
    </row>
    <row r="69" spans="1:6" ht="15.6" thickBot="1" x14ac:dyDescent="0.3">
      <c r="A69" s="573" t="s">
        <v>545</v>
      </c>
      <c r="B69" s="496" t="s">
        <v>2</v>
      </c>
      <c r="C69" s="494" t="str">
        <f>C3</f>
        <v>Budget 2024-25</v>
      </c>
      <c r="D69" s="494" t="str">
        <f>D53</f>
        <v>EST Actual 2024-25</v>
      </c>
      <c r="E69" s="494" t="str">
        <f>E53</f>
        <v>Budget 2025-26</v>
      </c>
    </row>
    <row r="70" spans="1:6" ht="15" x14ac:dyDescent="0.25">
      <c r="A70" s="592" t="s">
        <v>67</v>
      </c>
      <c r="B70" s="599">
        <v>7000</v>
      </c>
      <c r="C70" s="526">
        <v>2100</v>
      </c>
      <c r="D70" s="434">
        <v>2100</v>
      </c>
      <c r="E70" s="734">
        <v>2100</v>
      </c>
      <c r="F70" s="615"/>
    </row>
    <row r="71" spans="1:6" ht="15" x14ac:dyDescent="0.25">
      <c r="A71" s="594" t="s">
        <v>68</v>
      </c>
      <c r="B71" s="436">
        <v>7001</v>
      </c>
      <c r="C71" s="526">
        <v>150</v>
      </c>
      <c r="D71" s="434"/>
      <c r="E71" s="734">
        <v>150</v>
      </c>
      <c r="F71" s="615"/>
    </row>
    <row r="72" spans="1:6" ht="15" x14ac:dyDescent="0.25">
      <c r="A72" s="594" t="s">
        <v>69</v>
      </c>
      <c r="B72" s="436">
        <v>7002</v>
      </c>
      <c r="C72" s="526">
        <v>343.04</v>
      </c>
      <c r="D72" s="434">
        <v>343.04</v>
      </c>
      <c r="E72" s="734">
        <v>343.04</v>
      </c>
      <c r="F72" s="615"/>
    </row>
    <row r="73" spans="1:6" ht="15" x14ac:dyDescent="0.25">
      <c r="A73" s="702" t="s">
        <v>602</v>
      </c>
      <c r="B73" s="703">
        <v>6039</v>
      </c>
      <c r="C73" s="709">
        <v>0</v>
      </c>
      <c r="D73" s="704">
        <v>0</v>
      </c>
      <c r="E73" s="735">
        <v>0</v>
      </c>
      <c r="F73" s="615"/>
    </row>
    <row r="74" spans="1:6" ht="15" x14ac:dyDescent="0.25">
      <c r="A74" s="594" t="s">
        <v>70</v>
      </c>
      <c r="B74" s="436">
        <v>7010</v>
      </c>
      <c r="C74" s="526">
        <v>1000</v>
      </c>
      <c r="D74" s="434">
        <v>1205.96</v>
      </c>
      <c r="E74" s="734">
        <v>1400</v>
      </c>
    </row>
    <row r="75" spans="1:6" ht="15" x14ac:dyDescent="0.25">
      <c r="A75" s="594" t="s">
        <v>71</v>
      </c>
      <c r="B75" s="436">
        <v>7020</v>
      </c>
      <c r="C75" s="526">
        <v>1200</v>
      </c>
      <c r="D75" s="434">
        <f>818.75*12/9</f>
        <v>1091.6666666666667</v>
      </c>
      <c r="E75" s="734">
        <v>1200</v>
      </c>
    </row>
    <row r="76" spans="1:6" ht="15" x14ac:dyDescent="0.25">
      <c r="A76" s="594" t="s">
        <v>597</v>
      </c>
      <c r="B76" s="436">
        <v>7021</v>
      </c>
      <c r="C76" s="526">
        <v>100</v>
      </c>
      <c r="D76" s="434">
        <v>80</v>
      </c>
      <c r="E76" s="734">
        <v>100</v>
      </c>
    </row>
    <row r="77" spans="1:6" ht="15" x14ac:dyDescent="0.25">
      <c r="A77" s="594" t="s">
        <v>590</v>
      </c>
      <c r="B77" s="436">
        <v>7080</v>
      </c>
      <c r="C77" s="526">
        <v>0</v>
      </c>
      <c r="D77" s="434"/>
      <c r="E77" s="734">
        <v>100</v>
      </c>
    </row>
    <row r="78" spans="1:6" ht="15" x14ac:dyDescent="0.25">
      <c r="A78" s="594" t="s">
        <v>72</v>
      </c>
      <c r="B78" s="436">
        <v>7030</v>
      </c>
      <c r="C78" s="526">
        <v>150</v>
      </c>
      <c r="D78" s="434"/>
      <c r="E78" s="734">
        <v>50</v>
      </c>
      <c r="F78" s="615"/>
    </row>
    <row r="79" spans="1:6" ht="15" x14ac:dyDescent="0.25">
      <c r="A79" s="594" t="s">
        <v>598</v>
      </c>
      <c r="B79" s="436">
        <v>7031</v>
      </c>
      <c r="C79" s="526">
        <v>600</v>
      </c>
      <c r="D79" s="434">
        <v>467</v>
      </c>
      <c r="E79" s="734">
        <v>650</v>
      </c>
    </row>
    <row r="80" spans="1:6" ht="15" x14ac:dyDescent="0.25">
      <c r="A80" s="594" t="s">
        <v>74</v>
      </c>
      <c r="B80" s="436">
        <v>7032</v>
      </c>
      <c r="C80" s="526">
        <v>400</v>
      </c>
      <c r="D80" s="434"/>
      <c r="E80" s="734">
        <v>200</v>
      </c>
    </row>
    <row r="81" spans="1:6" ht="15" x14ac:dyDescent="0.25">
      <c r="A81" s="594" t="s">
        <v>76</v>
      </c>
      <c r="B81" s="436">
        <v>7040</v>
      </c>
      <c r="C81" s="526">
        <v>200</v>
      </c>
      <c r="D81" s="434"/>
      <c r="E81" s="734">
        <v>0</v>
      </c>
    </row>
    <row r="82" spans="1:6" ht="15" x14ac:dyDescent="0.25">
      <c r="A82" s="594" t="s">
        <v>78</v>
      </c>
      <c r="B82" s="436">
        <v>7060</v>
      </c>
      <c r="C82" s="526">
        <v>300</v>
      </c>
      <c r="D82" s="434"/>
      <c r="E82" s="734">
        <v>200</v>
      </c>
    </row>
    <row r="83" spans="1:6" ht="15" x14ac:dyDescent="0.25">
      <c r="A83" s="594" t="s">
        <v>599</v>
      </c>
      <c r="B83" s="436">
        <v>7013</v>
      </c>
      <c r="C83" s="526">
        <v>400</v>
      </c>
      <c r="D83" s="434">
        <f>442.7*12/9</f>
        <v>590.26666666666665</v>
      </c>
      <c r="E83" s="734">
        <v>500</v>
      </c>
    </row>
    <row r="84" spans="1:6" ht="15" x14ac:dyDescent="0.25">
      <c r="A84" s="594" t="s">
        <v>81</v>
      </c>
      <c r="B84" s="436">
        <v>7075</v>
      </c>
      <c r="C84" s="526">
        <v>0</v>
      </c>
      <c r="D84" s="434"/>
      <c r="E84" s="734">
        <v>0</v>
      </c>
      <c r="F84" s="687"/>
    </row>
    <row r="85" spans="1:6" ht="15" x14ac:dyDescent="0.25">
      <c r="A85" s="594" t="s">
        <v>85</v>
      </c>
      <c r="B85" s="436">
        <v>7150</v>
      </c>
      <c r="C85" s="526">
        <v>200</v>
      </c>
      <c r="D85" s="434">
        <f>12.99*12/9</f>
        <v>17.32</v>
      </c>
      <c r="E85" s="734">
        <v>200</v>
      </c>
      <c r="F85" s="20"/>
    </row>
    <row r="86" spans="1:6" ht="15" x14ac:dyDescent="0.25">
      <c r="A86" s="594" t="s">
        <v>86</v>
      </c>
      <c r="B86" s="436">
        <v>7160</v>
      </c>
      <c r="C86" s="526">
        <v>0</v>
      </c>
      <c r="D86" s="434"/>
      <c r="E86" s="734">
        <v>0</v>
      </c>
    </row>
    <row r="87" spans="1:6" ht="15" x14ac:dyDescent="0.25">
      <c r="A87" s="594" t="s">
        <v>87</v>
      </c>
      <c r="B87" s="436">
        <v>8000</v>
      </c>
      <c r="C87" s="526">
        <v>0</v>
      </c>
      <c r="D87" s="434"/>
      <c r="E87" s="734">
        <v>0</v>
      </c>
    </row>
    <row r="88" spans="1:6" ht="15" x14ac:dyDescent="0.25">
      <c r="A88" s="594" t="s">
        <v>88</v>
      </c>
      <c r="B88" s="436">
        <v>8010</v>
      </c>
      <c r="C88" s="526">
        <v>150</v>
      </c>
      <c r="D88" s="434">
        <f>106.5*12/9</f>
        <v>142</v>
      </c>
      <c r="E88" s="734">
        <v>150</v>
      </c>
    </row>
    <row r="89" spans="1:6" ht="15" x14ac:dyDescent="0.25">
      <c r="A89" s="594" t="s">
        <v>89</v>
      </c>
      <c r="B89" s="436">
        <v>8018</v>
      </c>
      <c r="C89" s="526">
        <v>100</v>
      </c>
      <c r="D89" s="434"/>
      <c r="E89" s="734">
        <v>150</v>
      </c>
    </row>
    <row r="90" spans="1:6" ht="15" x14ac:dyDescent="0.25">
      <c r="A90" s="594" t="s">
        <v>616</v>
      </c>
      <c r="B90" s="436">
        <v>8020</v>
      </c>
      <c r="C90" s="526">
        <v>7680</v>
      </c>
      <c r="D90" s="434">
        <v>7680</v>
      </c>
      <c r="E90" s="734">
        <v>9168</v>
      </c>
    </row>
    <row r="91" spans="1:6" ht="15" x14ac:dyDescent="0.25">
      <c r="A91" s="594" t="s">
        <v>91</v>
      </c>
      <c r="B91" s="436">
        <v>8040</v>
      </c>
      <c r="C91" s="526">
        <v>3000</v>
      </c>
      <c r="D91" s="434">
        <v>2500</v>
      </c>
      <c r="E91" s="734">
        <v>3000</v>
      </c>
    </row>
    <row r="92" spans="1:6" ht="15.6" thickBot="1" x14ac:dyDescent="0.3">
      <c r="A92" s="594" t="s">
        <v>610</v>
      </c>
      <c r="B92" s="436"/>
      <c r="C92" s="526">
        <v>0</v>
      </c>
      <c r="D92" s="443">
        <v>0</v>
      </c>
      <c r="E92" s="734">
        <v>0</v>
      </c>
    </row>
    <row r="93" spans="1:6" ht="15.6" thickBot="1" x14ac:dyDescent="0.3">
      <c r="A93" s="573" t="s">
        <v>97</v>
      </c>
      <c r="B93" s="493"/>
      <c r="C93" s="495">
        <f>SUM(C70:C91)</f>
        <v>18073.04</v>
      </c>
      <c r="D93" s="495">
        <f>SUM(D70:D92)</f>
        <v>16217.253333333334</v>
      </c>
      <c r="E93" s="495">
        <f>SUM(E70:E92)</f>
        <v>19661.04</v>
      </c>
    </row>
    <row r="94" spans="1:6" ht="15.6" thickBot="1" x14ac:dyDescent="0.3">
      <c r="A94" s="562"/>
      <c r="B94" s="440"/>
      <c r="C94" s="721"/>
      <c r="D94" s="721"/>
      <c r="E94" s="722"/>
    </row>
    <row r="95" spans="1:6" ht="15.6" thickBot="1" x14ac:dyDescent="0.3">
      <c r="A95" s="573" t="s">
        <v>98</v>
      </c>
      <c r="B95" s="496"/>
      <c r="C95" s="495">
        <f>C93+C51+C25</f>
        <v>86948.040000000008</v>
      </c>
      <c r="D95" s="495">
        <f>D93+D51+D25</f>
        <v>69475.56</v>
      </c>
      <c r="E95" s="495">
        <f>E93+E51+E25</f>
        <v>87296.040000000008</v>
      </c>
    </row>
    <row r="96" spans="1:6" ht="15.6" thickBot="1" x14ac:dyDescent="0.3">
      <c r="A96" s="729"/>
      <c r="B96" s="447"/>
      <c r="C96" s="730"/>
      <c r="D96" s="730"/>
      <c r="E96" s="722"/>
    </row>
    <row r="97" spans="1:5" ht="15.6" thickBot="1" x14ac:dyDescent="0.3">
      <c r="A97" s="573" t="s">
        <v>547</v>
      </c>
      <c r="B97" s="496" t="s">
        <v>2</v>
      </c>
      <c r="C97" s="498" t="str">
        <f>C3</f>
        <v>Budget 2024-25</v>
      </c>
      <c r="D97" s="498" t="str">
        <f>D69</f>
        <v>EST Actual 2024-25</v>
      </c>
      <c r="E97" s="498" t="str">
        <f>E69</f>
        <v>Budget 2025-26</v>
      </c>
    </row>
    <row r="98" spans="1:5" ht="15" x14ac:dyDescent="0.25">
      <c r="A98" s="597" t="s">
        <v>540</v>
      </c>
      <c r="B98" s="602">
        <v>9000</v>
      </c>
      <c r="C98" s="526">
        <v>27000</v>
      </c>
      <c r="D98" s="443">
        <f>14592.33*12/9</f>
        <v>19456.439999999999</v>
      </c>
      <c r="E98" s="734">
        <v>22000</v>
      </c>
    </row>
    <row r="99" spans="1:5" ht="15" x14ac:dyDescent="0.25">
      <c r="A99" s="594" t="s">
        <v>539</v>
      </c>
      <c r="B99" s="436">
        <v>9001</v>
      </c>
      <c r="C99" s="526">
        <v>0</v>
      </c>
      <c r="D99" s="443"/>
      <c r="E99" s="734">
        <v>0</v>
      </c>
    </row>
    <row r="100" spans="1:5" ht="15" x14ac:dyDescent="0.25">
      <c r="A100" s="594" t="s">
        <v>104</v>
      </c>
      <c r="B100" s="436">
        <v>9004</v>
      </c>
      <c r="C100" s="526">
        <v>8900</v>
      </c>
      <c r="D100" s="443">
        <f>4364.15*12/9</f>
        <v>5818.8666666666659</v>
      </c>
      <c r="E100" s="734">
        <v>8900</v>
      </c>
    </row>
    <row r="101" spans="1:5" ht="15" x14ac:dyDescent="0.25">
      <c r="A101" s="594" t="s">
        <v>105</v>
      </c>
      <c r="B101" s="436">
        <v>9005</v>
      </c>
      <c r="C101" s="526">
        <v>0</v>
      </c>
      <c r="D101" s="443"/>
      <c r="E101" s="734">
        <v>0</v>
      </c>
    </row>
    <row r="102" spans="1:5" ht="15" x14ac:dyDescent="0.25">
      <c r="A102" s="594" t="s">
        <v>603</v>
      </c>
      <c r="B102" s="436">
        <v>9006</v>
      </c>
      <c r="C102" s="526">
        <v>2500</v>
      </c>
      <c r="D102" s="443"/>
      <c r="E102" s="734">
        <v>2500</v>
      </c>
    </row>
    <row r="103" spans="1:5" ht="15" x14ac:dyDescent="0.25">
      <c r="A103" s="594" t="s">
        <v>145</v>
      </c>
      <c r="B103" s="436">
        <v>9010</v>
      </c>
      <c r="C103" s="526">
        <v>500</v>
      </c>
      <c r="D103" s="443"/>
      <c r="E103" s="734">
        <v>500</v>
      </c>
    </row>
    <row r="104" spans="1:5" ht="15" x14ac:dyDescent="0.25">
      <c r="A104" s="594" t="s">
        <v>144</v>
      </c>
      <c r="B104" s="436">
        <v>9008</v>
      </c>
      <c r="C104" s="526">
        <v>100</v>
      </c>
      <c r="D104" s="443"/>
      <c r="E104" s="734">
        <v>100</v>
      </c>
    </row>
    <row r="105" spans="1:5" ht="15" x14ac:dyDescent="0.25">
      <c r="A105" s="594" t="s">
        <v>146</v>
      </c>
      <c r="B105" s="436">
        <v>9012</v>
      </c>
      <c r="C105" s="710">
        <v>500</v>
      </c>
      <c r="D105" s="443"/>
      <c r="E105" s="736">
        <v>250</v>
      </c>
    </row>
    <row r="106" spans="1:5" ht="15.6" thickBot="1" x14ac:dyDescent="0.3">
      <c r="A106" s="595" t="s">
        <v>109</v>
      </c>
      <c r="B106" s="596">
        <v>9013</v>
      </c>
      <c r="C106" s="717">
        <v>250</v>
      </c>
      <c r="D106" s="443"/>
      <c r="E106" s="737">
        <v>150</v>
      </c>
    </row>
    <row r="107" spans="1:5" ht="15.6" thickBot="1" x14ac:dyDescent="0.3">
      <c r="A107" s="492" t="s">
        <v>113</v>
      </c>
      <c r="B107" s="600"/>
      <c r="C107" s="601">
        <f>SUM(C98:C106)</f>
        <v>39750</v>
      </c>
      <c r="D107" s="601">
        <f t="shared" ref="D107:E107" si="5">SUM(D98:D106)</f>
        <v>25275.306666666664</v>
      </c>
      <c r="E107" s="738">
        <f t="shared" si="5"/>
        <v>34400</v>
      </c>
    </row>
    <row r="108" spans="1:5" ht="15.6" thickBot="1" x14ac:dyDescent="0.3">
      <c r="A108" s="729"/>
      <c r="B108" s="447"/>
      <c r="C108" s="739"/>
      <c r="D108" s="739"/>
      <c r="E108" s="740"/>
    </row>
    <row r="109" spans="1:5" ht="15.6" thickBot="1" x14ac:dyDescent="0.3">
      <c r="A109" s="607" t="s">
        <v>122</v>
      </c>
      <c r="B109" s="608"/>
      <c r="C109" s="609">
        <f>C14</f>
        <v>157583.49901999999</v>
      </c>
      <c r="D109" s="609">
        <f>D14</f>
        <v>151075.19999999998</v>
      </c>
      <c r="E109" s="609">
        <f>E14</f>
        <v>158165.97999999998</v>
      </c>
    </row>
    <row r="110" spans="1:5" ht="15" x14ac:dyDescent="0.25">
      <c r="A110" s="610"/>
      <c r="B110" s="611"/>
      <c r="C110" s="683"/>
      <c r="D110" s="683"/>
      <c r="E110" s="612"/>
    </row>
    <row r="111" spans="1:5" ht="15" x14ac:dyDescent="0.25">
      <c r="A111" s="603" t="s">
        <v>549</v>
      </c>
      <c r="B111" s="436"/>
      <c r="C111" s="472">
        <f>C51+C25</f>
        <v>68875</v>
      </c>
      <c r="D111" s="472">
        <f>D51+D25</f>
        <v>53258.306666666671</v>
      </c>
      <c r="E111" s="741">
        <f>E51+E25</f>
        <v>67635</v>
      </c>
    </row>
    <row r="112" spans="1:5" ht="15.6" thickBot="1" x14ac:dyDescent="0.3">
      <c r="A112" s="604" t="s">
        <v>541</v>
      </c>
      <c r="B112" s="605"/>
      <c r="C112" s="606">
        <f>C93</f>
        <v>18073.04</v>
      </c>
      <c r="D112" s="606">
        <f t="shared" ref="D112:E112" si="6">D93</f>
        <v>16217.253333333334</v>
      </c>
      <c r="E112" s="725">
        <f t="shared" si="6"/>
        <v>19661.04</v>
      </c>
    </row>
    <row r="113" spans="1:5" ht="30.6" thickBot="1" x14ac:dyDescent="0.3">
      <c r="A113" s="474" t="s">
        <v>551</v>
      </c>
      <c r="B113" s="475" t="s">
        <v>151</v>
      </c>
      <c r="C113" s="439">
        <f>SUM(C111:C112)</f>
        <v>86948.040000000008</v>
      </c>
      <c r="D113" s="439">
        <f t="shared" ref="D113:E113" si="7">SUM(D111:D112)</f>
        <v>69475.56</v>
      </c>
      <c r="E113" s="439">
        <f t="shared" si="7"/>
        <v>87296.040000000008</v>
      </c>
    </row>
    <row r="114" spans="1:5" ht="15.6" thickBot="1" x14ac:dyDescent="0.3">
      <c r="A114" s="468" t="s">
        <v>543</v>
      </c>
      <c r="B114" s="476" t="s">
        <v>152</v>
      </c>
      <c r="C114" s="439">
        <f>C107</f>
        <v>39750</v>
      </c>
      <c r="D114" s="439">
        <f>D107</f>
        <v>25275.306666666664</v>
      </c>
      <c r="E114" s="439">
        <f>E107</f>
        <v>34400</v>
      </c>
    </row>
    <row r="115" spans="1:5" ht="15.6" thickBot="1" x14ac:dyDescent="0.3">
      <c r="A115" s="468" t="s">
        <v>126</v>
      </c>
      <c r="B115" s="476" t="s">
        <v>153</v>
      </c>
      <c r="C115" s="439">
        <v>0</v>
      </c>
      <c r="D115" s="439">
        <v>0</v>
      </c>
      <c r="E115" s="439">
        <v>0</v>
      </c>
    </row>
    <row r="116" spans="1:5" ht="15.6" thickBot="1" x14ac:dyDescent="0.3">
      <c r="A116" s="468" t="s">
        <v>548</v>
      </c>
      <c r="B116" s="476" t="s">
        <v>154</v>
      </c>
      <c r="C116" s="439">
        <f>C67</f>
        <v>30325.16</v>
      </c>
      <c r="D116" s="439">
        <f>D67</f>
        <v>29040</v>
      </c>
      <c r="E116" s="439">
        <f>E67</f>
        <v>29950</v>
      </c>
    </row>
    <row r="117" spans="1:5" ht="15.6" thickBot="1" x14ac:dyDescent="0.3">
      <c r="A117" s="562"/>
      <c r="B117" s="440"/>
      <c r="C117" s="721"/>
      <c r="D117" s="721"/>
      <c r="E117" s="722"/>
    </row>
    <row r="118" spans="1:5" ht="15.6" thickBot="1" x14ac:dyDescent="0.3">
      <c r="A118" s="536" t="s">
        <v>127</v>
      </c>
      <c r="B118" s="491"/>
      <c r="C118" s="591">
        <f>C109 - (C113+C114+C115+C116)</f>
        <v>560.29901999997674</v>
      </c>
      <c r="D118" s="591">
        <f>D109-D113-D114-D116</f>
        <v>27284.333333333321</v>
      </c>
      <c r="E118" s="591">
        <f>E109-E113-E114-E116</f>
        <v>6519.9399999999732</v>
      </c>
    </row>
    <row r="119" spans="1:5" ht="15.6" thickBot="1" x14ac:dyDescent="0.3">
      <c r="A119" s="432"/>
      <c r="B119" s="440"/>
      <c r="C119" s="479"/>
      <c r="D119" s="479"/>
      <c r="E119" s="480"/>
    </row>
    <row r="120" spans="1:5" ht="15.6" thickBot="1" x14ac:dyDescent="0.3">
      <c r="A120" s="549" t="s">
        <v>542</v>
      </c>
      <c r="B120" s="550"/>
      <c r="C120" s="664" t="s">
        <v>596</v>
      </c>
      <c r="D120" s="664" t="str">
        <f>D97</f>
        <v>EST Actual 2024-25</v>
      </c>
      <c r="E120" s="664" t="str">
        <f>E97</f>
        <v>Budget 2025-26</v>
      </c>
    </row>
    <row r="121" spans="1:5" ht="15" x14ac:dyDescent="0.25">
      <c r="A121" s="435" t="s">
        <v>552</v>
      </c>
      <c r="B121" s="436"/>
      <c r="C121" s="446">
        <f t="shared" ref="C121:E122" si="8">C111</f>
        <v>68875</v>
      </c>
      <c r="D121" s="446">
        <f t="shared" si="8"/>
        <v>53258.306666666671</v>
      </c>
      <c r="E121" s="446">
        <f t="shared" si="8"/>
        <v>67635</v>
      </c>
    </row>
    <row r="122" spans="1:5" ht="15" x14ac:dyDescent="0.25">
      <c r="A122" s="435" t="s">
        <v>541</v>
      </c>
      <c r="B122" s="436"/>
      <c r="C122" s="446">
        <f t="shared" si="8"/>
        <v>18073.04</v>
      </c>
      <c r="D122" s="446">
        <f t="shared" si="8"/>
        <v>16217.253333333334</v>
      </c>
      <c r="E122" s="446">
        <f t="shared" si="8"/>
        <v>19661.04</v>
      </c>
    </row>
    <row r="123" spans="1:5" ht="15" x14ac:dyDescent="0.25">
      <c r="A123" s="435" t="s">
        <v>553</v>
      </c>
      <c r="B123" s="436"/>
      <c r="C123" s="446">
        <f>C67</f>
        <v>30325.16</v>
      </c>
      <c r="D123" s="446">
        <f>D67</f>
        <v>29040</v>
      </c>
      <c r="E123" s="446">
        <f>E67</f>
        <v>29950</v>
      </c>
    </row>
    <row r="124" spans="1:5" ht="15" x14ac:dyDescent="0.25">
      <c r="A124" s="435" t="s">
        <v>561</v>
      </c>
      <c r="B124" s="436"/>
      <c r="C124" s="446">
        <f>C107</f>
        <v>39750</v>
      </c>
      <c r="D124" s="446">
        <f>D107</f>
        <v>25275.306666666664</v>
      </c>
      <c r="E124" s="446">
        <f>E107</f>
        <v>34400</v>
      </c>
    </row>
    <row r="125" spans="1:5" ht="15" x14ac:dyDescent="0.25">
      <c r="A125" s="551" t="s">
        <v>604</v>
      </c>
      <c r="B125" s="552"/>
      <c r="C125" s="669">
        <f>SUM(C121:C123)</f>
        <v>117273.20000000001</v>
      </c>
      <c r="D125" s="669">
        <f>SUM(D121:D123)</f>
        <v>98515.56</v>
      </c>
      <c r="E125" s="669">
        <f>SUM(E121:E123)</f>
        <v>117246.04000000001</v>
      </c>
    </row>
    <row r="126" spans="1:5" ht="15" x14ac:dyDescent="0.25">
      <c r="A126" s="553"/>
      <c r="B126" s="554"/>
      <c r="C126" s="672"/>
      <c r="D126" s="672"/>
      <c r="E126" s="672"/>
    </row>
    <row r="127" spans="1:5" ht="60" x14ac:dyDescent="0.25">
      <c r="A127" s="616" t="s">
        <v>559</v>
      </c>
      <c r="B127" s="617"/>
      <c r="C127" s="617"/>
      <c r="D127" s="690"/>
      <c r="E127" s="690"/>
    </row>
    <row r="128" spans="1:5" ht="45" x14ac:dyDescent="0.25">
      <c r="A128" s="555" t="s">
        <v>554</v>
      </c>
      <c r="B128" s="556"/>
      <c r="C128" s="675">
        <f>C123*0.4</f>
        <v>12130.064</v>
      </c>
      <c r="D128" s="675">
        <f>D123*0.4</f>
        <v>11616</v>
      </c>
      <c r="E128" s="675">
        <f>E123*0.4</f>
        <v>11980</v>
      </c>
    </row>
    <row r="129" spans="1:5" ht="45" x14ac:dyDescent="0.25">
      <c r="A129" s="557" t="s">
        <v>555</v>
      </c>
      <c r="B129" s="552"/>
      <c r="C129" s="669">
        <f>C122*0.3</f>
        <v>5421.9120000000003</v>
      </c>
      <c r="D129" s="669">
        <f>D122*0.3</f>
        <v>4865.1760000000004</v>
      </c>
      <c r="E129" s="669">
        <f>E122*0.3</f>
        <v>5898.3119999999999</v>
      </c>
    </row>
    <row r="130" spans="1:5" ht="15" x14ac:dyDescent="0.25">
      <c r="A130" s="558"/>
      <c r="B130" s="447"/>
      <c r="C130" s="460"/>
    </row>
    <row r="131" spans="1:5" ht="75" x14ac:dyDescent="0.25">
      <c r="A131" s="619" t="s">
        <v>593</v>
      </c>
      <c r="B131" s="619"/>
      <c r="C131" s="619"/>
      <c r="D131" s="619"/>
      <c r="E131" s="619"/>
    </row>
    <row r="132" spans="1:5" ht="15" x14ac:dyDescent="0.25">
      <c r="A132" s="559" t="s">
        <v>558</v>
      </c>
      <c r="B132" s="620"/>
      <c r="C132" s="622"/>
      <c r="D132" s="622"/>
      <c r="E132" s="622"/>
    </row>
    <row r="133" spans="1:5" ht="15" x14ac:dyDescent="0.25">
      <c r="A133" s="560" t="s">
        <v>563</v>
      </c>
      <c r="B133" s="561"/>
      <c r="C133" s="679">
        <f>C125-C128-C129</f>
        <v>99721.224000000017</v>
      </c>
      <c r="D133" s="679">
        <f>D125-D128-D129</f>
        <v>82034.383999999991</v>
      </c>
      <c r="E133" s="679">
        <f t="shared" ref="E133" si="9">E125-E128-E129</f>
        <v>99367.728000000003</v>
      </c>
    </row>
    <row r="134" spans="1:5" ht="15" x14ac:dyDescent="0.25">
      <c r="A134" s="435" t="s">
        <v>594</v>
      </c>
      <c r="B134" s="436"/>
      <c r="C134" s="446">
        <f t="shared" ref="C134:E134" si="10">C133*0.4872</f>
        <v>48584.18033280001</v>
      </c>
      <c r="D134" s="446">
        <f t="shared" si="10"/>
        <v>39967.151884799998</v>
      </c>
      <c r="E134" s="446">
        <f t="shared" si="10"/>
        <v>48411.957081600005</v>
      </c>
    </row>
    <row r="135" spans="1:5" ht="15" x14ac:dyDescent="0.25">
      <c r="A135" s="435" t="s">
        <v>595</v>
      </c>
      <c r="B135" s="436"/>
      <c r="C135" s="446">
        <f t="shared" ref="C135" si="11">C133*0.5128</f>
        <v>51137.043667200014</v>
      </c>
      <c r="D135" s="446">
        <f t="shared" ref="D135:E135" si="12">D133*0.5128</f>
        <v>42067.2321152</v>
      </c>
      <c r="E135" s="446">
        <f t="shared" si="12"/>
        <v>50955.770918400005</v>
      </c>
    </row>
    <row r="136" spans="1:5" ht="15" x14ac:dyDescent="0.25">
      <c r="A136" s="562"/>
      <c r="B136" s="440"/>
      <c r="C136" s="430"/>
    </row>
    <row r="137" spans="1:5" ht="15" x14ac:dyDescent="0.25">
      <c r="A137" s="559" t="s">
        <v>562</v>
      </c>
      <c r="B137" s="623"/>
      <c r="C137" s="625"/>
      <c r="D137" s="689"/>
      <c r="E137" s="689"/>
    </row>
    <row r="138" spans="1:5" ht="15" x14ac:dyDescent="0.25">
      <c r="A138" s="435" t="s">
        <v>564</v>
      </c>
      <c r="B138" s="436"/>
      <c r="C138" s="712">
        <f>C5+C6+C7+C8+C10+C11+C12</f>
        <v>101368.68901999999</v>
      </c>
      <c r="D138" s="712">
        <f>D5+D6+D7+D8+D10+D11+D12</f>
        <v>98339.239999999991</v>
      </c>
      <c r="E138" s="712">
        <f>E5+E6+E7+E8+E10+E11+E12</f>
        <v>101001.14</v>
      </c>
    </row>
    <row r="139" spans="1:5" ht="15" x14ac:dyDescent="0.25">
      <c r="A139" s="435" t="s">
        <v>565</v>
      </c>
      <c r="B139" s="436"/>
      <c r="C139" s="712">
        <f t="shared" ref="C139" si="13">SUM(C128+C129+C134+C124)</f>
        <v>105886.15633280002</v>
      </c>
      <c r="D139" s="712">
        <f t="shared" ref="D139:E139" si="14">SUM(D128+D129+D134+D124)</f>
        <v>81723.634551466661</v>
      </c>
      <c r="E139" s="712">
        <f t="shared" si="14"/>
        <v>100690.26908160001</v>
      </c>
    </row>
    <row r="140" spans="1:5" ht="15" x14ac:dyDescent="0.25">
      <c r="A140" s="553" t="s">
        <v>574</v>
      </c>
      <c r="B140" s="554"/>
      <c r="C140" s="713">
        <f>SUM(C138-C139)</f>
        <v>-4517.4673128000286</v>
      </c>
      <c r="D140" s="713">
        <f t="shared" ref="D140:E140" si="15">SUM(D138-D139)</f>
        <v>16615.60544853333</v>
      </c>
      <c r="E140" s="713">
        <f t="shared" si="15"/>
        <v>310.87091839998902</v>
      </c>
    </row>
    <row r="141" spans="1:5" ht="15" x14ac:dyDescent="0.25">
      <c r="A141" s="435" t="s">
        <v>566</v>
      </c>
      <c r="B141" s="436"/>
      <c r="C141" s="712">
        <f>C9</f>
        <v>56214.81</v>
      </c>
      <c r="D141" s="712">
        <f>D9</f>
        <v>52735.96</v>
      </c>
      <c r="E141" s="712">
        <f>E9</f>
        <v>57164.84</v>
      </c>
    </row>
    <row r="142" spans="1:5" ht="15" x14ac:dyDescent="0.25">
      <c r="A142" s="435" t="s">
        <v>567</v>
      </c>
      <c r="B142" s="436"/>
      <c r="C142" s="712">
        <f t="shared" ref="C142" si="16">C135</f>
        <v>51137.043667200014</v>
      </c>
      <c r="D142" s="712">
        <f t="shared" ref="D142:E142" si="17">D135</f>
        <v>42067.2321152</v>
      </c>
      <c r="E142" s="712">
        <f t="shared" si="17"/>
        <v>50955.770918400005</v>
      </c>
    </row>
    <row r="143" spans="1:5" ht="15" x14ac:dyDescent="0.25">
      <c r="A143" s="553" t="s">
        <v>575</v>
      </c>
      <c r="B143" s="554"/>
      <c r="C143" s="714">
        <f t="shared" ref="C143" si="18">SUM(C141-C142)</f>
        <v>5077.7663327999835</v>
      </c>
      <c r="D143" s="714">
        <f t="shared" ref="D143:E143" si="19">SUM(D141-D142)</f>
        <v>10668.727884799999</v>
      </c>
      <c r="E143" s="714">
        <f t="shared" si="19"/>
        <v>6209.0690815999915</v>
      </c>
    </row>
    <row r="148" spans="3:5" x14ac:dyDescent="0.25">
      <c r="C148" s="20"/>
      <c r="D148" s="20"/>
      <c r="E148" s="20"/>
    </row>
    <row r="149" spans="3:5" x14ac:dyDescent="0.25">
      <c r="C149" s="20"/>
    </row>
    <row r="150" spans="3:5" x14ac:dyDescent="0.25">
      <c r="C150" s="613"/>
    </row>
    <row r="152" spans="3:5" x14ac:dyDescent="0.25">
      <c r="C152" s="20"/>
    </row>
    <row r="155" spans="3:5" x14ac:dyDescent="0.25">
      <c r="C155" s="20"/>
    </row>
  </sheetData>
  <protectedRanges>
    <protectedRange password="C753" sqref="A116:B116 D116" name="Staffcontractorscost2_2"/>
    <protectedRange password="C753" sqref="A114:B114 D114:E114" name="Total tenant2_2"/>
    <protectedRange password="C753" sqref="A109:B109 D109:E109" name="Total income2_1"/>
    <protectedRange password="C753" sqref="A93:B93 D93:E93" name="Admin service cost_2"/>
    <protectedRange password="C753" sqref="A51:B51 D51:E51" name="Total estate maintenance_1"/>
    <protectedRange password="C753" sqref="A14:B14 D14:E14" name="Total income_1"/>
    <protectedRange password="C753" sqref="A95:B95" name="Total SC_2"/>
    <protectedRange password="C753" sqref="A113:B113 D113:E113" name="Total service2_2"/>
    <protectedRange password="C753" sqref="A118:B118" name="Netsurplus_2"/>
    <protectedRange password="C753" sqref="D95:E95" name="Actual figure_5_1"/>
    <protectedRange password="C753" sqref="D95:E95" name="Total SC_1_1"/>
    <protectedRange password="C753" sqref="A121:B135" name="Last box_2"/>
    <protectedRange password="C753" sqref="D121:E126 D128:E129 D131:E131 C133:E135 C121:C131" name="Last box_4"/>
    <protectedRange password="C753" sqref="C116" name="Staffcontractorscost2_2_2"/>
    <protectedRange password="C753" sqref="C114" name="Total tenant2_2_2"/>
    <protectedRange password="C753" sqref="C109" name="Total income2_1_2"/>
    <protectedRange password="C753" sqref="C93" name="Admin service cost_2_2"/>
    <protectedRange password="C753" sqref="C51" name="Total estate maintenance_1_2"/>
    <protectedRange password="C753" sqref="C14" name="Total income_1_2"/>
    <protectedRange password="C753" sqref="C113" name="Total service2_2_2"/>
    <protectedRange password="C753" sqref="C95" name="Actual figure_5_1_2"/>
    <protectedRange password="C753" sqref="C95" name="Total SC_1_1_2"/>
  </protectedRanges>
  <conditionalFormatting sqref="A143">
    <cfRule type="cellIs" dxfId="30" priority="26" stopIfTrue="1" operator="lessThan">
      <formula>0</formula>
    </cfRule>
  </conditionalFormatting>
  <conditionalFormatting sqref="C1 D26:D50 E28:E50 B110 C111:C118 D115:D117">
    <cfRule type="cellIs" dxfId="29" priority="57" stopIfTrue="1" operator="lessThan">
      <formula>0</formula>
    </cfRule>
  </conditionalFormatting>
  <conditionalFormatting sqref="C3:C16 C25:C53">
    <cfRule type="cellIs" dxfId="28" priority="9" stopIfTrue="1" operator="lessThan">
      <formula>0</formula>
    </cfRule>
  </conditionalFormatting>
  <conditionalFormatting sqref="C67:C72 C74:C94">
    <cfRule type="cellIs" dxfId="27" priority="2" stopIfTrue="1" operator="lessThan">
      <formula>0</formula>
    </cfRule>
  </conditionalFormatting>
  <conditionalFormatting sqref="C96:D106">
    <cfRule type="cellIs" dxfId="26" priority="1" stopIfTrue="1" operator="lessThan">
      <formula>0</formula>
    </cfRule>
  </conditionalFormatting>
  <conditionalFormatting sqref="C119:D119">
    <cfRule type="cellIs" dxfId="25" priority="43" stopIfTrue="1" operator="equal">
      <formula>0</formula>
    </cfRule>
  </conditionalFormatting>
  <conditionalFormatting sqref="C128:E129 C128:C130 C133:E135 C133:C136">
    <cfRule type="cellIs" dxfId="24" priority="24" stopIfTrue="1" operator="lessThan">
      <formula>0</formula>
    </cfRule>
  </conditionalFormatting>
  <conditionalFormatting sqref="D3:D4 D118:E118">
    <cfRule type="cellIs" dxfId="23" priority="44" stopIfTrue="1" operator="lessThan">
      <formula>0</formula>
    </cfRule>
  </conditionalFormatting>
  <conditionalFormatting sqref="D13:D24">
    <cfRule type="cellIs" dxfId="22" priority="22" stopIfTrue="1" operator="lessThan">
      <formula>0</formula>
    </cfRule>
  </conditionalFormatting>
  <conditionalFormatting sqref="D52:D69">
    <cfRule type="cellIs" dxfId="21" priority="21" stopIfTrue="1" operator="lessThan">
      <formula>0</formula>
    </cfRule>
  </conditionalFormatting>
  <conditionalFormatting sqref="D25:E25 D51:E51 D92 D93:E93 D94 C107:E109 C120:E126 C138:E143">
    <cfRule type="cellIs" dxfId="20" priority="40" stopIfTrue="1" operator="lessThan">
      <formula>0</formula>
    </cfRule>
  </conditionalFormatting>
  <conditionalFormatting sqref="D111:E114">
    <cfRule type="cellIs" dxfId="19" priority="13" stopIfTrue="1" operator="lessThan">
      <formula>0</formula>
    </cfRule>
  </conditionalFormatting>
  <conditionalFormatting sqref="E5:E14">
    <cfRule type="cellIs" dxfId="18" priority="8" stopIfTrue="1" operator="lessThan">
      <formula>0</formula>
    </cfRule>
  </conditionalFormatting>
  <conditionalFormatting sqref="E70:E72 E74:E92">
    <cfRule type="cellIs" dxfId="17" priority="5" stopIfTrue="1" operator="lessThan">
      <formula>0</formula>
    </cfRule>
  </conditionalFormatting>
  <conditionalFormatting sqref="E98:E106">
    <cfRule type="cellIs" dxfId="16" priority="4" stopIfTrue="1" operator="lessThan">
      <formula>0</formula>
    </cfRule>
  </conditionalFormatting>
  <pageMargins left="0.31496062992125984" right="0.11811023622047245" top="0.15748031496062992" bottom="0.15748031496062992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8"/>
  </sheetPr>
  <dimension ref="A1:R95"/>
  <sheetViews>
    <sheetView view="pageBreakPreview" topLeftCell="A44" zoomScaleNormal="100" workbookViewId="0">
      <selection activeCell="Z10" sqref="Z10"/>
    </sheetView>
  </sheetViews>
  <sheetFormatPr defaultColWidth="9.109375" defaultRowHeight="13.2" x14ac:dyDescent="0.25"/>
  <cols>
    <col min="1" max="1" width="32.33203125" style="195" customWidth="1"/>
    <col min="2" max="2" width="25.44140625" style="164" customWidth="1"/>
    <col min="3" max="3" width="21" style="164" customWidth="1"/>
    <col min="4" max="4" width="18.5546875" style="164" customWidth="1"/>
    <col min="5" max="5" width="14" style="163" customWidth="1"/>
    <col min="6" max="6" width="16.6640625" style="164" customWidth="1"/>
    <col min="7" max="7" width="13.33203125" style="18" customWidth="1"/>
    <col min="8" max="10" width="10.109375" style="195" bestFit="1" customWidth="1"/>
    <col min="11" max="11" width="10.44140625" style="195" customWidth="1"/>
    <col min="12" max="12" width="11.5546875" style="195" customWidth="1"/>
    <col min="13" max="14" width="9.109375" style="195"/>
    <col min="15" max="15" width="10" style="195" bestFit="1" customWidth="1"/>
    <col min="16" max="16384" width="9.109375" style="195"/>
  </cols>
  <sheetData>
    <row r="1" spans="1:7" x14ac:dyDescent="0.25">
      <c r="B1" s="145" t="s">
        <v>218</v>
      </c>
      <c r="C1" s="145"/>
      <c r="D1" s="145"/>
    </row>
    <row r="2" spans="1:7" hidden="1" x14ac:dyDescent="0.25">
      <c r="A2" s="146" t="s">
        <v>219</v>
      </c>
      <c r="B2" s="142" t="s">
        <v>220</v>
      </c>
      <c r="C2" s="143" t="s">
        <v>221</v>
      </c>
      <c r="D2" s="144" t="s">
        <v>222</v>
      </c>
      <c r="E2" s="147" t="s">
        <v>97</v>
      </c>
      <c r="F2" s="145"/>
      <c r="G2" s="148"/>
    </row>
    <row r="3" spans="1:7" ht="14.4" hidden="1" x14ac:dyDescent="0.35">
      <c r="A3" s="149"/>
      <c r="B3" s="141"/>
      <c r="C3" s="141"/>
      <c r="E3" s="150"/>
      <c r="F3" s="150"/>
      <c r="G3" s="148"/>
    </row>
    <row r="4" spans="1:7" hidden="1" x14ac:dyDescent="0.25">
      <c r="A4" s="195" t="s">
        <v>223</v>
      </c>
      <c r="B4" s="332">
        <v>10405.120000000001</v>
      </c>
      <c r="C4" s="163">
        <v>14356.12</v>
      </c>
      <c r="D4" s="163">
        <v>17284.849999999999</v>
      </c>
      <c r="E4" s="164">
        <f>SUM(B4:D4)</f>
        <v>42046.09</v>
      </c>
      <c r="G4" s="148"/>
    </row>
    <row r="5" spans="1:7" hidden="1" x14ac:dyDescent="0.25">
      <c r="A5" s="333" t="s">
        <v>224</v>
      </c>
      <c r="B5" s="333">
        <f>B7-B4+B6</f>
        <v>0</v>
      </c>
      <c r="C5" s="333">
        <f>C7-C4+C6</f>
        <v>0</v>
      </c>
      <c r="D5" s="333">
        <f>D7-D4+D6</f>
        <v>0</v>
      </c>
      <c r="E5" s="164">
        <f>SUM(B5:D5)</f>
        <v>0</v>
      </c>
      <c r="G5" s="148"/>
    </row>
    <row r="6" spans="1:7" hidden="1" x14ac:dyDescent="0.25">
      <c r="A6" s="195" t="s">
        <v>225</v>
      </c>
      <c r="B6" s="163">
        <v>0</v>
      </c>
      <c r="C6" s="163">
        <v>0</v>
      </c>
      <c r="D6" s="164">
        <v>0</v>
      </c>
      <c r="E6" s="164">
        <f>SUM(B6:D6)</f>
        <v>0</v>
      </c>
      <c r="G6" s="148"/>
    </row>
    <row r="7" spans="1:7" ht="13.8" hidden="1" thickBot="1" x14ac:dyDescent="0.3">
      <c r="A7" s="334" t="s">
        <v>226</v>
      </c>
      <c r="B7" s="334">
        <v>10405.120000000001</v>
      </c>
      <c r="C7" s="334">
        <v>14356.12</v>
      </c>
      <c r="D7" s="334">
        <v>17284.849999999999</v>
      </c>
      <c r="E7" s="165">
        <f>SUM(E4:E6)</f>
        <v>42046.09</v>
      </c>
      <c r="G7" s="148"/>
    </row>
    <row r="8" spans="1:7" hidden="1" x14ac:dyDescent="0.25">
      <c r="A8" s="333"/>
      <c r="B8" s="333"/>
      <c r="C8" s="333"/>
      <c r="E8" s="164"/>
      <c r="G8" s="148"/>
    </row>
    <row r="9" spans="1:7" hidden="1" x14ac:dyDescent="0.25">
      <c r="A9" s="151" t="s">
        <v>227</v>
      </c>
      <c r="B9" s="141"/>
      <c r="C9" s="141"/>
      <c r="E9" s="164"/>
      <c r="G9" s="148"/>
    </row>
    <row r="10" spans="1:7" hidden="1" x14ac:dyDescent="0.25">
      <c r="A10" s="152"/>
      <c r="B10" s="141"/>
      <c r="C10" s="141"/>
      <c r="E10" s="164"/>
      <c r="G10" s="19"/>
    </row>
    <row r="11" spans="1:7" hidden="1" x14ac:dyDescent="0.25">
      <c r="A11" s="195" t="s">
        <v>223</v>
      </c>
      <c r="B11" s="332">
        <f>8851.99-4600</f>
        <v>4251.99</v>
      </c>
      <c r="C11" s="332">
        <v>12987.86</v>
      </c>
      <c r="D11" s="332">
        <v>10523.9</v>
      </c>
      <c r="E11" s="164">
        <f>SUM(B11:D11)</f>
        <v>27763.75</v>
      </c>
      <c r="G11" s="148"/>
    </row>
    <row r="12" spans="1:7" hidden="1" x14ac:dyDescent="0.25">
      <c r="A12" s="333" t="s">
        <v>228</v>
      </c>
      <c r="B12" s="333">
        <f>B14-B11+B13</f>
        <v>553.26000000000022</v>
      </c>
      <c r="C12" s="333">
        <f>C14-C11+C13</f>
        <v>271.51000000000022</v>
      </c>
      <c r="D12" s="333">
        <f>D14-D11+D13</f>
        <v>1032.0400000000009</v>
      </c>
      <c r="E12" s="164">
        <f>SUM(B12:D12)</f>
        <v>1856.8100000000013</v>
      </c>
      <c r="G12" s="148"/>
    </row>
    <row r="13" spans="1:7" hidden="1" x14ac:dyDescent="0.25">
      <c r="A13" s="333" t="s">
        <v>229</v>
      </c>
      <c r="B13" s="333">
        <v>0</v>
      </c>
      <c r="C13" s="333">
        <v>0</v>
      </c>
      <c r="D13" s="333">
        <v>0</v>
      </c>
      <c r="E13" s="164">
        <f>SUM(B13:D13)</f>
        <v>0</v>
      </c>
      <c r="G13" s="148"/>
    </row>
    <row r="14" spans="1:7" ht="13.8" hidden="1" thickBot="1" x14ac:dyDescent="0.3">
      <c r="A14" s="334" t="s">
        <v>226</v>
      </c>
      <c r="B14" s="334">
        <v>4805.25</v>
      </c>
      <c r="C14" s="334">
        <v>13259.37</v>
      </c>
      <c r="D14" s="165">
        <v>11555.94</v>
      </c>
      <c r="E14" s="165">
        <f>SUM(E11:E13)</f>
        <v>29620.560000000001</v>
      </c>
      <c r="G14" s="148"/>
    </row>
    <row r="15" spans="1:7" hidden="1" x14ac:dyDescent="0.25">
      <c r="B15" s="163"/>
      <c r="C15" s="163"/>
      <c r="E15" s="164"/>
      <c r="G15" s="148"/>
    </row>
    <row r="16" spans="1:7" s="156" customFormat="1" ht="13.8" hidden="1" thickBot="1" x14ac:dyDescent="0.3">
      <c r="A16" s="153" t="s">
        <v>230</v>
      </c>
      <c r="B16" s="154">
        <f>B7-B14</f>
        <v>5599.8700000000008</v>
      </c>
      <c r="C16" s="154">
        <f>C7-C14</f>
        <v>1096.75</v>
      </c>
      <c r="D16" s="154">
        <f>D7-D14</f>
        <v>5728.909999999998</v>
      </c>
      <c r="E16" s="154">
        <f>E7-E14</f>
        <v>12425.529999999995</v>
      </c>
      <c r="F16" s="145"/>
      <c r="G16" s="155"/>
    </row>
    <row r="17" spans="1:7" hidden="1" x14ac:dyDescent="0.25">
      <c r="B17" s="163"/>
      <c r="C17" s="163"/>
      <c r="E17" s="164"/>
      <c r="G17" s="148"/>
    </row>
    <row r="18" spans="1:7" ht="13.8" hidden="1" thickBot="1" x14ac:dyDescent="0.3">
      <c r="A18" s="335" t="s">
        <v>231</v>
      </c>
      <c r="B18" s="336">
        <f>B4-B11</f>
        <v>6153.130000000001</v>
      </c>
      <c r="C18" s="336">
        <f>C4-C11</f>
        <v>1368.2600000000002</v>
      </c>
      <c r="D18" s="336">
        <f>D4-D11</f>
        <v>6760.9499999999989</v>
      </c>
      <c r="E18" s="336">
        <f>E4-E11</f>
        <v>14282.339999999997</v>
      </c>
      <c r="G18" s="148"/>
    </row>
    <row r="19" spans="1:7" hidden="1" x14ac:dyDescent="0.25"/>
    <row r="20" spans="1:7" hidden="1" x14ac:dyDescent="0.25"/>
    <row r="21" spans="1:7" s="158" customFormat="1" hidden="1" x14ac:dyDescent="0.25">
      <c r="A21" s="157"/>
      <c r="B21" s="142" t="s">
        <v>232</v>
      </c>
      <c r="C21" s="143" t="s">
        <v>233</v>
      </c>
      <c r="D21" s="144" t="s">
        <v>234</v>
      </c>
      <c r="E21" s="147" t="s">
        <v>97</v>
      </c>
      <c r="F21" s="150"/>
      <c r="G21" s="113"/>
    </row>
    <row r="22" spans="1:7" hidden="1" x14ac:dyDescent="0.25">
      <c r="A22" s="195" t="s">
        <v>235</v>
      </c>
      <c r="B22" s="164">
        <v>13322.76</v>
      </c>
      <c r="C22" s="164">
        <v>0</v>
      </c>
      <c r="D22" s="164">
        <v>22000</v>
      </c>
      <c r="E22" s="163">
        <f>SUM(B22:D22)</f>
        <v>35322.76</v>
      </c>
    </row>
    <row r="23" spans="1:7" hidden="1" x14ac:dyDescent="0.25">
      <c r="A23" s="195" t="s">
        <v>236</v>
      </c>
      <c r="B23" s="164">
        <v>0</v>
      </c>
      <c r="C23" s="164">
        <v>20000</v>
      </c>
      <c r="D23" s="164">
        <v>-20000</v>
      </c>
      <c r="E23" s="163">
        <f>SUM(B23:D23)</f>
        <v>0</v>
      </c>
    </row>
    <row r="24" spans="1:7" hidden="1" x14ac:dyDescent="0.25">
      <c r="A24" s="195" t="s">
        <v>237</v>
      </c>
      <c r="B24" s="164" t="e">
        <v>#REF!</v>
      </c>
      <c r="C24" s="164">
        <v>0</v>
      </c>
      <c r="D24" s="164">
        <v>0</v>
      </c>
      <c r="E24" s="163" t="e">
        <f>SUM(B24:D24)</f>
        <v>#REF!</v>
      </c>
    </row>
    <row r="25" spans="1:7" ht="13.8" hidden="1" thickBot="1" x14ac:dyDescent="0.3">
      <c r="A25" s="337" t="s">
        <v>238</v>
      </c>
      <c r="B25" s="338" t="e">
        <f>SUM(B22:B24)</f>
        <v>#REF!</v>
      </c>
      <c r="C25" s="338">
        <f>SUM(C22:C24)</f>
        <v>20000</v>
      </c>
      <c r="D25" s="338">
        <f>SUM(D22:D24)</f>
        <v>2000</v>
      </c>
      <c r="E25" s="339" t="e">
        <f>SUM(E22:E24)</f>
        <v>#REF!</v>
      </c>
    </row>
    <row r="26" spans="1:7" x14ac:dyDescent="0.25">
      <c r="A26" s="146" t="s">
        <v>219</v>
      </c>
      <c r="B26" s="142" t="s">
        <v>220</v>
      </c>
      <c r="C26" s="145"/>
      <c r="D26" s="145"/>
      <c r="E26" s="145"/>
      <c r="F26" s="145"/>
      <c r="G26" s="148"/>
    </row>
    <row r="27" spans="1:7" ht="14.4" x14ac:dyDescent="0.35">
      <c r="A27" s="149"/>
      <c r="B27" s="141"/>
      <c r="C27" s="141"/>
      <c r="E27" s="150"/>
      <c r="F27" s="150"/>
      <c r="G27" s="148"/>
    </row>
    <row r="28" spans="1:7" x14ac:dyDescent="0.25">
      <c r="A28" s="195" t="s">
        <v>223</v>
      </c>
      <c r="B28" s="333">
        <v>11244.52</v>
      </c>
      <c r="C28" s="163"/>
      <c r="D28" s="163"/>
      <c r="E28" s="164"/>
      <c r="G28" s="148"/>
    </row>
    <row r="29" spans="1:7" x14ac:dyDescent="0.25">
      <c r="A29" s="333" t="s">
        <v>224</v>
      </c>
      <c r="B29" s="333">
        <f>+B31-B28</f>
        <v>0</v>
      </c>
      <c r="C29" s="333"/>
      <c r="D29" s="333"/>
      <c r="E29" s="164"/>
      <c r="G29" s="148"/>
    </row>
    <row r="30" spans="1:7" x14ac:dyDescent="0.25">
      <c r="A30" s="195" t="s">
        <v>225</v>
      </c>
      <c r="B30" s="163">
        <v>0</v>
      </c>
      <c r="C30" s="163"/>
      <c r="E30" s="164"/>
      <c r="G30" s="148"/>
    </row>
    <row r="31" spans="1:7" ht="13.8" thickBot="1" x14ac:dyDescent="0.3">
      <c r="A31" s="334" t="s">
        <v>226</v>
      </c>
      <c r="B31" s="334">
        <v>11244.52</v>
      </c>
      <c r="C31" s="333"/>
      <c r="D31" s="333"/>
      <c r="E31" s="164"/>
      <c r="G31" s="148"/>
    </row>
    <row r="32" spans="1:7" ht="13.8" thickTop="1" x14ac:dyDescent="0.25">
      <c r="A32" s="333"/>
      <c r="B32" s="333"/>
      <c r="C32" s="333"/>
      <c r="E32" s="164"/>
      <c r="G32" s="148"/>
    </row>
    <row r="33" spans="1:7" x14ac:dyDescent="0.25">
      <c r="A33" s="151" t="s">
        <v>227</v>
      </c>
      <c r="B33" s="141"/>
      <c r="C33" s="141"/>
      <c r="E33" s="164"/>
      <c r="G33" s="148"/>
    </row>
    <row r="34" spans="1:7" x14ac:dyDescent="0.25">
      <c r="A34" s="152"/>
      <c r="B34" s="141"/>
      <c r="C34" s="141"/>
      <c r="E34" s="164"/>
      <c r="G34" s="19"/>
    </row>
    <row r="35" spans="1:7" x14ac:dyDescent="0.25">
      <c r="A35" s="195" t="s">
        <v>223</v>
      </c>
      <c r="B35" s="163">
        <v>10889.33</v>
      </c>
      <c r="C35" s="332"/>
      <c r="D35" s="332"/>
      <c r="E35" s="164"/>
      <c r="G35" s="148"/>
    </row>
    <row r="36" spans="1:7" x14ac:dyDescent="0.25">
      <c r="A36" s="333" t="s">
        <v>228</v>
      </c>
      <c r="B36" s="333">
        <f>B38-B35</f>
        <v>227.98999999999978</v>
      </c>
      <c r="C36" s="333"/>
      <c r="D36" s="333"/>
      <c r="E36" s="164"/>
      <c r="G36" s="148"/>
    </row>
    <row r="37" spans="1:7" x14ac:dyDescent="0.25">
      <c r="A37" s="333" t="s">
        <v>229</v>
      </c>
      <c r="B37" s="333">
        <v>0</v>
      </c>
      <c r="C37" s="333"/>
      <c r="D37" s="333"/>
      <c r="E37" s="164"/>
      <c r="G37" s="148"/>
    </row>
    <row r="38" spans="1:7" ht="13.8" thickBot="1" x14ac:dyDescent="0.3">
      <c r="A38" s="334" t="s">
        <v>226</v>
      </c>
      <c r="B38" s="334">
        <v>11117.32</v>
      </c>
      <c r="C38" s="333"/>
      <c r="E38" s="164"/>
      <c r="G38" s="148"/>
    </row>
    <row r="39" spans="1:7" ht="13.8" thickTop="1" x14ac:dyDescent="0.25">
      <c r="B39" s="163"/>
      <c r="C39" s="163"/>
      <c r="E39" s="164"/>
      <c r="G39" s="148"/>
    </row>
    <row r="40" spans="1:7" s="156" customFormat="1" ht="13.8" thickBot="1" x14ac:dyDescent="0.3">
      <c r="A40" s="153" t="s">
        <v>432</v>
      </c>
      <c r="B40" s="154">
        <f>+B31-B38</f>
        <v>127.20000000000073</v>
      </c>
      <c r="C40" s="145"/>
      <c r="D40" s="145"/>
      <c r="E40" s="145"/>
      <c r="F40" s="145"/>
      <c r="G40" s="155"/>
    </row>
    <row r="41" spans="1:7" ht="13.8" thickTop="1" x14ac:dyDescent="0.25">
      <c r="B41" s="163"/>
      <c r="C41" s="163" t="s">
        <v>131</v>
      </c>
      <c r="D41" s="163"/>
      <c r="E41" s="164"/>
      <c r="G41" s="148"/>
    </row>
    <row r="42" spans="1:7" s="156" customFormat="1" ht="13.8" thickBot="1" x14ac:dyDescent="0.3">
      <c r="A42" s="153" t="s">
        <v>322</v>
      </c>
      <c r="B42" s="154">
        <f>+B28-B35</f>
        <v>355.19000000000051</v>
      </c>
      <c r="C42" s="145"/>
      <c r="D42" s="145"/>
      <c r="E42" s="145"/>
      <c r="F42" s="145"/>
      <c r="G42" s="155"/>
    </row>
    <row r="43" spans="1:7" ht="13.8" thickTop="1" x14ac:dyDescent="0.25"/>
    <row r="44" spans="1:7" ht="21" x14ac:dyDescent="0.25">
      <c r="B44" s="196" t="s">
        <v>278</v>
      </c>
      <c r="C44" s="197" t="s">
        <v>279</v>
      </c>
      <c r="D44" s="198" t="s">
        <v>97</v>
      </c>
    </row>
    <row r="45" spans="1:7" x14ac:dyDescent="0.25">
      <c r="A45" s="195" t="s">
        <v>280</v>
      </c>
      <c r="B45" s="164">
        <f>6630.1-1980.6</f>
        <v>4649.5</v>
      </c>
      <c r="C45" s="164">
        <f>7825+725</f>
        <v>8550</v>
      </c>
      <c r="D45" s="164">
        <f>SUM(B45:C45)</f>
        <v>13199.5</v>
      </c>
    </row>
    <row r="46" spans="1:7" x14ac:dyDescent="0.25">
      <c r="A46" s="195" t="s">
        <v>236</v>
      </c>
      <c r="B46" s="164">
        <v>0</v>
      </c>
      <c r="C46" s="164">
        <v>0</v>
      </c>
      <c r="D46" s="164">
        <f>SUM(B46:C46)</f>
        <v>0</v>
      </c>
    </row>
    <row r="47" spans="1:7" x14ac:dyDescent="0.25">
      <c r="A47" s="195" t="s">
        <v>281</v>
      </c>
      <c r="B47" s="164">
        <f>+'Mgt account 18-19'!F159</f>
        <v>3461.5999999999913</v>
      </c>
      <c r="C47" s="164">
        <v>0</v>
      </c>
      <c r="D47" s="164">
        <f>SUM(B47:C47)</f>
        <v>3461.5999999999913</v>
      </c>
    </row>
    <row r="48" spans="1:7" ht="13.8" thickBot="1" x14ac:dyDescent="0.3">
      <c r="A48" s="195" t="s">
        <v>282</v>
      </c>
      <c r="B48" s="165">
        <f>SUM(B45:B47)</f>
        <v>8111.0999999999913</v>
      </c>
      <c r="C48" s="165">
        <f>SUM(C45:C47)</f>
        <v>8550</v>
      </c>
      <c r="D48" s="165">
        <f>SUM(D45:D47)</f>
        <v>16661.099999999991</v>
      </c>
      <c r="G48" s="18">
        <v>7.4</v>
      </c>
    </row>
    <row r="49" spans="1:18" ht="13.8" thickTop="1" x14ac:dyDescent="0.25">
      <c r="G49" s="3">
        <f>+D48+G48</f>
        <v>16668.499999999993</v>
      </c>
    </row>
    <row r="50" spans="1:18" s="162" customFormat="1" ht="13.8" thickBot="1" x14ac:dyDescent="0.3">
      <c r="A50" s="159"/>
      <c r="B50" s="142" t="s">
        <v>239</v>
      </c>
      <c r="C50" s="160" t="s">
        <v>240</v>
      </c>
      <c r="D50" s="144" t="s">
        <v>241</v>
      </c>
      <c r="E50" s="161"/>
      <c r="F50" s="150"/>
      <c r="G50" s="186">
        <v>44487.28</v>
      </c>
    </row>
    <row r="51" spans="1:18" ht="13.8" thickTop="1" x14ac:dyDescent="0.25">
      <c r="A51" s="195" t="s">
        <v>242</v>
      </c>
      <c r="B51" s="163">
        <f>23929.64-19788.21</f>
        <v>4141.43</v>
      </c>
      <c r="C51" s="163">
        <f>D51-B51</f>
        <v>19788.21</v>
      </c>
      <c r="D51" s="163">
        <v>23929.64</v>
      </c>
      <c r="E51" s="163">
        <f>+D51</f>
        <v>23929.64</v>
      </c>
      <c r="G51" s="3" t="s">
        <v>131</v>
      </c>
    </row>
    <row r="52" spans="1:18" x14ac:dyDescent="0.25">
      <c r="A52" s="195" t="s">
        <v>243</v>
      </c>
      <c r="B52" s="414">
        <v>46647.83</v>
      </c>
      <c r="C52" s="163">
        <f>D52-B52</f>
        <v>-264</v>
      </c>
      <c r="D52" s="163">
        <v>46383.83</v>
      </c>
      <c r="E52" s="163" t="s">
        <v>131</v>
      </c>
      <c r="G52" s="18" t="s">
        <v>131</v>
      </c>
      <c r="H52" s="340">
        <f>+G50-G49</f>
        <v>27818.780000000006</v>
      </c>
    </row>
    <row r="53" spans="1:18" x14ac:dyDescent="0.25">
      <c r="A53" s="195" t="s">
        <v>244</v>
      </c>
      <c r="B53" s="163">
        <v>0</v>
      </c>
      <c r="C53" s="164">
        <v>0</v>
      </c>
      <c r="D53" s="163">
        <v>0</v>
      </c>
    </row>
    <row r="54" spans="1:18" x14ac:dyDescent="0.25">
      <c r="A54" s="195" t="s">
        <v>304</v>
      </c>
      <c r="B54" s="163">
        <v>20</v>
      </c>
      <c r="C54" s="164">
        <v>0</v>
      </c>
      <c r="D54" s="163">
        <v>20</v>
      </c>
      <c r="G54" s="3"/>
      <c r="L54" s="340"/>
      <c r="M54" s="343"/>
    </row>
    <row r="55" spans="1:18" ht="13.8" thickBot="1" x14ac:dyDescent="0.3">
      <c r="B55" s="165">
        <f>SUM(B51:B54)</f>
        <v>50809.26</v>
      </c>
      <c r="C55" s="165">
        <f>SUM(C51:C54)</f>
        <v>19524.21</v>
      </c>
      <c r="D55" s="165">
        <f>SUM(D51:D54)</f>
        <v>70333.47</v>
      </c>
      <c r="H55" s="340"/>
      <c r="M55" s="195" t="s">
        <v>131</v>
      </c>
    </row>
    <row r="56" spans="1:18" ht="13.8" thickTop="1" x14ac:dyDescent="0.25">
      <c r="B56" s="164" t="s">
        <v>131</v>
      </c>
      <c r="D56" s="164" t="s">
        <v>131</v>
      </c>
      <c r="G56" s="18">
        <v>0</v>
      </c>
      <c r="H56" s="340"/>
      <c r="L56" s="343">
        <f>+K61/3</f>
        <v>139.53</v>
      </c>
      <c r="M56" s="343">
        <f>+L56*2</f>
        <v>279.06</v>
      </c>
      <c r="N56" s="343">
        <f>+M56+L56</f>
        <v>418.59000000000003</v>
      </c>
    </row>
    <row r="57" spans="1:18" x14ac:dyDescent="0.25">
      <c r="B57" s="20" t="s">
        <v>131</v>
      </c>
      <c r="C57"/>
      <c r="D57" s="164">
        <v>70293.47</v>
      </c>
      <c r="E57" s="163" t="s">
        <v>131</v>
      </c>
      <c r="G57" s="18" t="s">
        <v>131</v>
      </c>
      <c r="H57" s="195" t="s">
        <v>131</v>
      </c>
      <c r="K57" s="343" t="s">
        <v>131</v>
      </c>
      <c r="L57" s="343" t="s">
        <v>131</v>
      </c>
      <c r="M57" s="343"/>
      <c r="N57" s="343"/>
    </row>
    <row r="58" spans="1:18" x14ac:dyDescent="0.25">
      <c r="A58" s="17" t="s">
        <v>148</v>
      </c>
      <c r="B58" s="20" t="s">
        <v>131</v>
      </c>
      <c r="C58"/>
      <c r="D58" s="164">
        <f>+D55-D57</f>
        <v>40</v>
      </c>
      <c r="E58" s="163" t="s">
        <v>131</v>
      </c>
      <c r="F58" s="164">
        <v>0</v>
      </c>
      <c r="G58" s="341"/>
      <c r="H58" s="341"/>
      <c r="K58" s="195" t="s">
        <v>131</v>
      </c>
      <c r="L58" s="195" t="s">
        <v>131</v>
      </c>
      <c r="M58" s="340" t="s">
        <v>131</v>
      </c>
    </row>
    <row r="59" spans="1:18" ht="16.8" x14ac:dyDescent="0.55000000000000004">
      <c r="A59" s="17" t="s">
        <v>245</v>
      </c>
      <c r="B59" s="76" t="s">
        <v>246</v>
      </c>
      <c r="C59"/>
      <c r="D59" s="166">
        <v>42736</v>
      </c>
      <c r="F59" s="166">
        <v>42705</v>
      </c>
      <c r="G59" s="166" t="s">
        <v>247</v>
      </c>
      <c r="H59" s="166" t="s">
        <v>131</v>
      </c>
      <c r="I59" s="167" t="s">
        <v>248</v>
      </c>
      <c r="J59" s="342" t="s">
        <v>249</v>
      </c>
      <c r="K59" s="342" t="s">
        <v>250</v>
      </c>
      <c r="L59" s="195" t="s">
        <v>288</v>
      </c>
      <c r="M59" s="195" t="s">
        <v>289</v>
      </c>
    </row>
    <row r="60" spans="1:18" x14ac:dyDescent="0.25">
      <c r="A60" s="21" t="s">
        <v>23</v>
      </c>
      <c r="B60" s="169">
        <v>1</v>
      </c>
      <c r="C60" s="170" t="s">
        <v>161</v>
      </c>
      <c r="D60" s="171">
        <f>(H60-J60)/(J60-I60)*K60</f>
        <v>225.11699999999999</v>
      </c>
      <c r="F60" s="171">
        <v>205.87090909090909</v>
      </c>
      <c r="G60" s="171">
        <f>+D60-F60</f>
        <v>19.246090909090896</v>
      </c>
      <c r="H60" s="172">
        <v>42766</v>
      </c>
      <c r="I60" s="173">
        <v>42709</v>
      </c>
      <c r="J60" s="172">
        <v>42739</v>
      </c>
      <c r="K60" s="174">
        <v>250.13</v>
      </c>
      <c r="L60" s="340">
        <f>+G60/3*2</f>
        <v>12.830727272727264</v>
      </c>
      <c r="M60" s="340">
        <f>+G60/3</f>
        <v>6.4153636363636322</v>
      </c>
      <c r="N60" s="340">
        <f>+M60+L60-G60</f>
        <v>0</v>
      </c>
      <c r="O60" s="343">
        <f>+K60/3</f>
        <v>83.376666666666665</v>
      </c>
      <c r="P60" s="343">
        <f>+D60/3*2</f>
        <v>150.078</v>
      </c>
      <c r="Q60" s="343"/>
      <c r="R60" s="344"/>
    </row>
    <row r="61" spans="1:18" x14ac:dyDescent="0.25">
      <c r="A61" s="21"/>
      <c r="B61" s="169">
        <v>2</v>
      </c>
      <c r="C61" s="170" t="s">
        <v>163</v>
      </c>
      <c r="D61" s="171">
        <f>(H61-J61)/(J61-I61)*K61</f>
        <v>376.73099999999999</v>
      </c>
      <c r="F61" s="171">
        <v>327.39545454545453</v>
      </c>
      <c r="G61" s="171">
        <f>D61-F61</f>
        <v>49.335545454545468</v>
      </c>
      <c r="H61" s="172">
        <f>+H60</f>
        <v>42766</v>
      </c>
      <c r="I61" s="173">
        <v>42709</v>
      </c>
      <c r="J61" s="172">
        <v>42739</v>
      </c>
      <c r="K61" s="174">
        <v>418.59</v>
      </c>
      <c r="L61" s="340">
        <f>+G61/3*2</f>
        <v>32.890363636363645</v>
      </c>
      <c r="M61" s="343">
        <f>+G61/3</f>
        <v>16.445181818181823</v>
      </c>
      <c r="N61" s="340">
        <f>+M61+L61-G61</f>
        <v>0</v>
      </c>
      <c r="O61" s="194">
        <f>+K61/3</f>
        <v>139.53</v>
      </c>
      <c r="P61" s="343">
        <f>+D61/3*2</f>
        <v>251.154</v>
      </c>
      <c r="Q61" s="343"/>
      <c r="R61" s="344"/>
    </row>
    <row r="62" spans="1:18" ht="13.8" thickBot="1" x14ac:dyDescent="0.3">
      <c r="A62" s="21"/>
      <c r="B62" s="169"/>
      <c r="C62" s="170"/>
      <c r="D62" s="176"/>
      <c r="E62" s="177"/>
      <c r="F62" s="176"/>
      <c r="G62" s="176"/>
      <c r="H62" s="173"/>
      <c r="I62" s="178">
        <f>SUM(K60:K61)</f>
        <v>668.72</v>
      </c>
      <c r="J62" s="168"/>
      <c r="K62" s="174" t="s">
        <v>131</v>
      </c>
      <c r="L62" s="195" t="s">
        <v>131</v>
      </c>
      <c r="M62" s="340" t="s">
        <v>131</v>
      </c>
      <c r="N62" s="195" t="s">
        <v>131</v>
      </c>
      <c r="O62" s="343" t="s">
        <v>131</v>
      </c>
    </row>
    <row r="63" spans="1:18" ht="13.8" thickTop="1" x14ac:dyDescent="0.25">
      <c r="A63" s="21"/>
      <c r="B63" s="19"/>
      <c r="C63" s="170"/>
      <c r="D63" s="171">
        <f>SUM(D60:D62)</f>
        <v>601.84799999999996</v>
      </c>
      <c r="E63" s="171">
        <f>D63</f>
        <v>601.84799999999996</v>
      </c>
      <c r="F63" s="171">
        <f>+F61+F60</f>
        <v>533.26636363636362</v>
      </c>
      <c r="G63" s="174">
        <f t="shared" ref="G63:G77" si="0">E63-F63</f>
        <v>68.581636363636335</v>
      </c>
      <c r="H63" s="194" t="s">
        <v>131</v>
      </c>
      <c r="I63" s="174">
        <f>F63-G63</f>
        <v>464.68472727272729</v>
      </c>
      <c r="J63" s="168"/>
      <c r="K63" s="340" t="s">
        <v>131</v>
      </c>
      <c r="L63" s="343" t="s">
        <v>131</v>
      </c>
      <c r="M63" s="174" t="s">
        <v>131</v>
      </c>
      <c r="P63" s="343"/>
      <c r="Q63" s="343"/>
    </row>
    <row r="64" spans="1:18" x14ac:dyDescent="0.25">
      <c r="A64" s="21"/>
      <c r="B64" s="19"/>
      <c r="C64" s="170"/>
      <c r="D64" s="171"/>
      <c r="E64" s="171"/>
      <c r="F64" s="171"/>
      <c r="G64" s="174">
        <f t="shared" si="0"/>
        <v>0</v>
      </c>
      <c r="H64" s="168"/>
      <c r="I64" s="174"/>
      <c r="J64" s="168"/>
      <c r="L64" s="343" t="s">
        <v>131</v>
      </c>
      <c r="M64" s="344"/>
      <c r="O64" s="344"/>
      <c r="P64" s="343"/>
      <c r="Q64" s="343"/>
    </row>
    <row r="65" spans="1:17" x14ac:dyDescent="0.25">
      <c r="A65" s="21"/>
      <c r="B65" s="170"/>
      <c r="C65" s="170"/>
      <c r="D65" s="171"/>
      <c r="E65" s="171"/>
      <c r="F65" s="345"/>
      <c r="G65" s="174">
        <f t="shared" si="0"/>
        <v>0</v>
      </c>
      <c r="H65" s="168"/>
      <c r="I65" s="174"/>
      <c r="J65" s="168"/>
      <c r="P65" s="343"/>
      <c r="Q65" s="343"/>
    </row>
    <row r="66" spans="1:17" x14ac:dyDescent="0.25">
      <c r="A66" s="23" t="s">
        <v>285</v>
      </c>
      <c r="B66" s="170"/>
      <c r="C66" s="170">
        <f>+D60-D67</f>
        <v>216.37</v>
      </c>
      <c r="D66" s="171"/>
      <c r="E66" s="171">
        <v>0</v>
      </c>
      <c r="F66" s="171">
        <v>0</v>
      </c>
      <c r="G66" s="174">
        <f t="shared" si="0"/>
        <v>0</v>
      </c>
      <c r="H66" s="168"/>
      <c r="I66" s="174">
        <v>86.87</v>
      </c>
      <c r="J66" s="179">
        <v>39007</v>
      </c>
      <c r="K66" s="179">
        <v>38917</v>
      </c>
      <c r="L66" s="343"/>
      <c r="P66" s="343"/>
      <c r="Q66" s="343"/>
    </row>
    <row r="67" spans="1:17" x14ac:dyDescent="0.25">
      <c r="A67" s="23" t="s">
        <v>286</v>
      </c>
      <c r="B67" s="170"/>
      <c r="C67" s="170">
        <f>+D61-D68</f>
        <v>418.06</v>
      </c>
      <c r="D67" s="171">
        <f>+D60-216.37</f>
        <v>8.7469999999999857</v>
      </c>
      <c r="E67" s="171">
        <v>0</v>
      </c>
      <c r="F67" s="171">
        <v>0</v>
      </c>
      <c r="G67" s="174">
        <f t="shared" si="0"/>
        <v>0</v>
      </c>
      <c r="H67" s="174">
        <f>SUM(G66:G67)</f>
        <v>0</v>
      </c>
      <c r="I67" s="174">
        <v>132.83000000000001</v>
      </c>
      <c r="J67" s="179">
        <v>38938</v>
      </c>
      <c r="K67" s="179">
        <v>38846</v>
      </c>
      <c r="N67" s="344"/>
    </row>
    <row r="68" spans="1:17" ht="14.4" x14ac:dyDescent="0.3">
      <c r="A68" s="23" t="s">
        <v>493</v>
      </c>
      <c r="B68" s="170"/>
      <c r="C68" s="170"/>
      <c r="D68" s="171">
        <f>+D61-418.06</f>
        <v>-41.329000000000008</v>
      </c>
      <c r="E68" s="391">
        <f>275*3</f>
        <v>825</v>
      </c>
      <c r="F68" s="391">
        <v>1375</v>
      </c>
      <c r="G68" s="174">
        <f t="shared" si="0"/>
        <v>-550</v>
      </c>
      <c r="H68" s="168"/>
      <c r="I68" s="175">
        <v>1275</v>
      </c>
      <c r="J68" s="168"/>
    </row>
    <row r="69" spans="1:17" x14ac:dyDescent="0.25">
      <c r="A69" s="23" t="s">
        <v>251</v>
      </c>
      <c r="B69" s="170"/>
      <c r="C69" s="170"/>
      <c r="D69" s="171">
        <f>+D68+D67</f>
        <v>-32.582000000000022</v>
      </c>
      <c r="E69" s="171">
        <v>0</v>
      </c>
      <c r="F69" s="171">
        <v>0</v>
      </c>
      <c r="G69" s="174">
        <f t="shared" si="0"/>
        <v>0</v>
      </c>
      <c r="H69" s="168"/>
      <c r="I69" s="168"/>
      <c r="J69" s="168"/>
    </row>
    <row r="70" spans="1:17" x14ac:dyDescent="0.25">
      <c r="A70" s="23" t="s">
        <v>317</v>
      </c>
      <c r="B70" s="170"/>
      <c r="C70" s="170"/>
      <c r="D70" s="171"/>
      <c r="E70" s="171">
        <v>0</v>
      </c>
      <c r="F70" s="171">
        <v>0</v>
      </c>
      <c r="G70" s="174">
        <f t="shared" si="0"/>
        <v>0</v>
      </c>
      <c r="H70" s="168"/>
      <c r="I70" s="168"/>
      <c r="J70" s="168"/>
    </row>
    <row r="71" spans="1:17" x14ac:dyDescent="0.25">
      <c r="A71" s="23" t="s">
        <v>149</v>
      </c>
      <c r="B71" s="170"/>
      <c r="C71" s="170"/>
      <c r="D71" s="171"/>
      <c r="E71" s="171">
        <v>0</v>
      </c>
      <c r="F71" s="171">
        <v>0</v>
      </c>
      <c r="G71" s="174">
        <f t="shared" si="0"/>
        <v>0</v>
      </c>
      <c r="H71" s="168"/>
      <c r="I71" s="168"/>
      <c r="J71" s="168"/>
    </row>
    <row r="72" spans="1:17" x14ac:dyDescent="0.25">
      <c r="A72" s="23" t="s">
        <v>252</v>
      </c>
      <c r="B72" s="170"/>
      <c r="C72" s="170"/>
      <c r="D72" s="171"/>
      <c r="E72" s="171">
        <v>0</v>
      </c>
      <c r="F72" s="171">
        <v>0</v>
      </c>
      <c r="G72" s="174">
        <f t="shared" si="0"/>
        <v>0</v>
      </c>
      <c r="H72" s="168"/>
      <c r="I72" s="168"/>
      <c r="J72" s="168"/>
    </row>
    <row r="73" spans="1:17" x14ac:dyDescent="0.25">
      <c r="A73" s="23" t="s">
        <v>290</v>
      </c>
      <c r="B73" s="170"/>
      <c r="C73" s="170"/>
      <c r="D73" s="171"/>
      <c r="E73" s="171">
        <v>0</v>
      </c>
      <c r="F73" s="171">
        <v>0</v>
      </c>
      <c r="G73" s="174">
        <f t="shared" si="0"/>
        <v>0</v>
      </c>
      <c r="H73" s="168">
        <v>153.86000000000001</v>
      </c>
      <c r="I73" s="174">
        <f>H73-E68</f>
        <v>-671.14</v>
      </c>
      <c r="J73" s="168"/>
    </row>
    <row r="74" spans="1:17" x14ac:dyDescent="0.25">
      <c r="A74" s="23" t="s">
        <v>492</v>
      </c>
      <c r="B74" s="170"/>
      <c r="C74" s="415" t="s">
        <v>131</v>
      </c>
      <c r="D74" s="171"/>
      <c r="E74" s="171">
        <f>291.67*19</f>
        <v>5541.7300000000005</v>
      </c>
      <c r="F74" s="171">
        <v>5250.06</v>
      </c>
      <c r="G74" s="174">
        <f t="shared" si="0"/>
        <v>291.67000000000007</v>
      </c>
      <c r="H74" s="168"/>
      <c r="I74" s="174"/>
      <c r="J74" s="168"/>
    </row>
    <row r="75" spans="1:17" x14ac:dyDescent="0.25">
      <c r="A75" s="23" t="s">
        <v>253</v>
      </c>
      <c r="B75" s="170"/>
      <c r="C75" s="170"/>
      <c r="D75" s="175">
        <v>3925.1</v>
      </c>
      <c r="E75" s="171">
        <v>0</v>
      </c>
      <c r="F75" s="171">
        <v>0</v>
      </c>
      <c r="G75" s="174">
        <f t="shared" si="0"/>
        <v>0</v>
      </c>
      <c r="H75" s="168"/>
      <c r="I75" s="168"/>
      <c r="J75" s="168"/>
      <c r="K75" s="171">
        <f>1500+250+250+250+275+275+275+275+275+275+275+275+275+275+229.17-645.83</f>
        <v>4583.34</v>
      </c>
    </row>
    <row r="76" spans="1:17" x14ac:dyDescent="0.25">
      <c r="A76" s="23" t="s">
        <v>316</v>
      </c>
      <c r="B76" s="170"/>
      <c r="C76" s="170" t="s">
        <v>131</v>
      </c>
      <c r="D76" s="175"/>
      <c r="E76" s="171">
        <v>0</v>
      </c>
      <c r="F76" s="171">
        <v>0</v>
      </c>
      <c r="G76" s="174">
        <f t="shared" si="0"/>
        <v>0</v>
      </c>
      <c r="H76" s="168"/>
      <c r="I76" s="168"/>
      <c r="J76" s="168">
        <v>6</v>
      </c>
      <c r="K76" s="174" t="s">
        <v>131</v>
      </c>
    </row>
    <row r="77" spans="1:17" x14ac:dyDescent="0.25">
      <c r="A77" s="23" t="s">
        <v>433</v>
      </c>
      <c r="B77" s="170"/>
      <c r="C77" s="170"/>
      <c r="D77" s="175"/>
      <c r="E77" s="171">
        <v>0</v>
      </c>
      <c r="F77" s="171">
        <v>0</v>
      </c>
      <c r="G77" s="174">
        <f t="shared" si="0"/>
        <v>0</v>
      </c>
      <c r="H77" s="168"/>
      <c r="I77" s="168"/>
      <c r="J77" s="168">
        <v>19</v>
      </c>
    </row>
    <row r="78" spans="1:17" ht="13.8" thickBot="1" x14ac:dyDescent="0.3">
      <c r="A78"/>
      <c r="B78" s="170"/>
      <c r="C78" s="170" t="s">
        <v>131</v>
      </c>
      <c r="D78" s="175" t="s">
        <v>131</v>
      </c>
      <c r="E78" s="346">
        <f>SUM(E63:E77)</f>
        <v>6968.5780000000004</v>
      </c>
      <c r="F78" s="346">
        <f>SUM(F63:F77)</f>
        <v>7158.3263636363645</v>
      </c>
      <c r="G78" s="346">
        <f>SUM(G63:G77)</f>
        <v>-189.74836363636359</v>
      </c>
      <c r="H78" s="168"/>
      <c r="I78" s="168"/>
      <c r="J78" s="168"/>
    </row>
    <row r="79" spans="1:17" ht="13.8" thickTop="1" x14ac:dyDescent="0.25">
      <c r="A79" s="23"/>
      <c r="B79" s="170"/>
      <c r="C79" s="170"/>
      <c r="D79" s="24"/>
      <c r="E79" s="148">
        <v>6968.58</v>
      </c>
      <c r="F79" s="349">
        <v>6313.15</v>
      </c>
    </row>
    <row r="80" spans="1:17" x14ac:dyDescent="0.25">
      <c r="A80" s="23"/>
      <c r="B80" s="170"/>
      <c r="C80" s="170"/>
      <c r="D80" s="390" t="s">
        <v>131</v>
      </c>
      <c r="E80" s="163">
        <f>+E78-E79</f>
        <v>-1.9999999994979589E-3</v>
      </c>
      <c r="F80" s="164">
        <f>+F78-F79</f>
        <v>845.17636363636484</v>
      </c>
      <c r="G80" s="3" t="s">
        <v>131</v>
      </c>
      <c r="I80" s="173"/>
      <c r="J80" s="172"/>
      <c r="K80" s="174">
        <f>475.31*60%</f>
        <v>285.18599999999998</v>
      </c>
    </row>
    <row r="81" spans="4:15" x14ac:dyDescent="0.25">
      <c r="D81" s="164" t="s">
        <v>314</v>
      </c>
      <c r="E81" s="390" t="s">
        <v>131</v>
      </c>
      <c r="F81" s="164" t="s">
        <v>131</v>
      </c>
      <c r="I81" s="195">
        <f>1750+25-1650</f>
        <v>125</v>
      </c>
    </row>
    <row r="82" spans="4:15" x14ac:dyDescent="0.25">
      <c r="E82" s="163" t="s">
        <v>131</v>
      </c>
    </row>
    <row r="83" spans="4:15" x14ac:dyDescent="0.25">
      <c r="E83" s="163" t="s">
        <v>131</v>
      </c>
    </row>
    <row r="84" spans="4:15" x14ac:dyDescent="0.25">
      <c r="O84" s="195">
        <f>+O83*40%</f>
        <v>0</v>
      </c>
    </row>
    <row r="85" spans="4:15" x14ac:dyDescent="0.25">
      <c r="O85" s="195">
        <f>+O84/3</f>
        <v>0</v>
      </c>
    </row>
    <row r="93" spans="4:15" ht="10.199999999999999" x14ac:dyDescent="0.2">
      <c r="F93" s="195"/>
      <c r="G93" s="195"/>
    </row>
    <row r="94" spans="4:15" ht="10.199999999999999" x14ac:dyDescent="0.2">
      <c r="F94" s="195"/>
      <c r="G94" s="195"/>
    </row>
    <row r="95" spans="4:15" ht="10.199999999999999" x14ac:dyDescent="0.2">
      <c r="F95" s="195"/>
      <c r="G95" s="195"/>
    </row>
  </sheetData>
  <pageMargins left="0.74803149606299213" right="0.74803149606299213" top="0.98425196850393704" bottom="0.98425196850393704" header="0.51181102362204722" footer="0.51181102362204722"/>
  <pageSetup paperSize="9" scale="96" orientation="landscape" horizontalDpi="1200" r:id="rId1"/>
  <headerFooter alignWithMargins="0">
    <oddHeader>&amp;LMCMO &amp;C&amp;A&amp;R&amp;D &amp;T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29"/>
  <sheetViews>
    <sheetView topLeftCell="A210" workbookViewId="0">
      <selection activeCell="Z10" sqref="Z10"/>
    </sheetView>
  </sheetViews>
  <sheetFormatPr defaultRowHeight="13.2" x14ac:dyDescent="0.25"/>
  <cols>
    <col min="2" max="2" width="40.109375" bestFit="1" customWidth="1"/>
    <col min="5" max="5" width="43.44140625" bestFit="1" customWidth="1"/>
  </cols>
  <sheetData>
    <row r="1" spans="1:8" ht="14.4" x14ac:dyDescent="0.3">
      <c r="A1" s="417" t="s">
        <v>434</v>
      </c>
      <c r="B1" s="417" t="s">
        <v>266</v>
      </c>
      <c r="C1" s="417" t="s">
        <v>313</v>
      </c>
      <c r="D1" s="417" t="s">
        <v>435</v>
      </c>
      <c r="E1" s="417" t="s">
        <v>268</v>
      </c>
      <c r="F1" s="417" t="s">
        <v>436</v>
      </c>
      <c r="G1" s="417" t="s">
        <v>270</v>
      </c>
      <c r="H1" s="417" t="s">
        <v>271</v>
      </c>
    </row>
    <row r="3" spans="1:8" x14ac:dyDescent="0.25">
      <c r="A3" s="412" t="s">
        <v>255</v>
      </c>
      <c r="B3" s="412" t="s">
        <v>256</v>
      </c>
      <c r="C3" s="412" t="s">
        <v>300</v>
      </c>
      <c r="D3" s="412" t="s">
        <v>309</v>
      </c>
      <c r="E3" s="412" t="s">
        <v>437</v>
      </c>
      <c r="F3" s="412" t="s">
        <v>254</v>
      </c>
      <c r="G3" s="20">
        <v>0</v>
      </c>
      <c r="H3" s="20">
        <v>156.99</v>
      </c>
    </row>
    <row r="4" spans="1:8" x14ac:dyDescent="0.25">
      <c r="A4" s="412" t="s">
        <v>438</v>
      </c>
      <c r="B4" s="412" t="s">
        <v>439</v>
      </c>
      <c r="C4" s="412" t="s">
        <v>300</v>
      </c>
      <c r="D4" s="412" t="s">
        <v>309</v>
      </c>
      <c r="E4" s="412" t="s">
        <v>437</v>
      </c>
      <c r="F4" s="412" t="s">
        <v>254</v>
      </c>
      <c r="G4" s="20">
        <v>156.99</v>
      </c>
      <c r="H4" s="20">
        <v>0</v>
      </c>
    </row>
    <row r="5" spans="1:8" x14ac:dyDescent="0.25">
      <c r="A5" s="412" t="s">
        <v>255</v>
      </c>
      <c r="B5" s="412" t="s">
        <v>256</v>
      </c>
      <c r="C5" s="412" t="s">
        <v>300</v>
      </c>
      <c r="D5" s="412" t="s">
        <v>309</v>
      </c>
      <c r="E5" s="412" t="s">
        <v>440</v>
      </c>
      <c r="F5" s="412" t="s">
        <v>254</v>
      </c>
      <c r="G5" s="20">
        <v>0</v>
      </c>
      <c r="H5" s="20">
        <v>34.47</v>
      </c>
    </row>
    <row r="6" spans="1:8" ht="13.8" thickBot="1" x14ac:dyDescent="0.3">
      <c r="A6" s="411" t="s">
        <v>263</v>
      </c>
      <c r="B6" s="411" t="s">
        <v>264</v>
      </c>
      <c r="C6" s="411" t="s">
        <v>300</v>
      </c>
      <c r="D6" s="411" t="s">
        <v>309</v>
      </c>
      <c r="E6" s="411" t="s">
        <v>440</v>
      </c>
      <c r="F6" s="411" t="s">
        <v>254</v>
      </c>
      <c r="G6" s="410">
        <v>34.47</v>
      </c>
      <c r="H6" s="410">
        <v>0</v>
      </c>
    </row>
    <row r="8" spans="1:8" x14ac:dyDescent="0.25">
      <c r="A8" s="412" t="s">
        <v>255</v>
      </c>
      <c r="B8" s="412" t="s">
        <v>256</v>
      </c>
      <c r="C8" s="412" t="s">
        <v>300</v>
      </c>
      <c r="D8" s="412" t="s">
        <v>309</v>
      </c>
      <c r="E8" s="412" t="s">
        <v>441</v>
      </c>
      <c r="F8" s="412" t="s">
        <v>254</v>
      </c>
      <c r="G8" s="20">
        <v>0</v>
      </c>
      <c r="H8" s="20">
        <v>115.34</v>
      </c>
    </row>
    <row r="9" spans="1:8" ht="13.8" thickBot="1" x14ac:dyDescent="0.3">
      <c r="A9" s="411" t="s">
        <v>442</v>
      </c>
      <c r="B9" s="411" t="s">
        <v>443</v>
      </c>
      <c r="C9" s="411" t="s">
        <v>300</v>
      </c>
      <c r="D9" s="411" t="s">
        <v>309</v>
      </c>
      <c r="E9" s="411" t="s">
        <v>441</v>
      </c>
      <c r="F9" s="411" t="s">
        <v>254</v>
      </c>
      <c r="G9" s="410">
        <v>115.34</v>
      </c>
      <c r="H9" s="410">
        <v>0</v>
      </c>
    </row>
    <row r="11" spans="1:8" x14ac:dyDescent="0.25">
      <c r="A11" s="412" t="s">
        <v>444</v>
      </c>
      <c r="B11" s="412" t="s">
        <v>445</v>
      </c>
      <c r="C11" s="412" t="s">
        <v>300</v>
      </c>
      <c r="D11" s="412" t="s">
        <v>309</v>
      </c>
      <c r="E11" s="412" t="s">
        <v>446</v>
      </c>
      <c r="F11" s="412" t="s">
        <v>254</v>
      </c>
      <c r="G11" s="20">
        <v>600</v>
      </c>
      <c r="H11" s="20">
        <v>0</v>
      </c>
    </row>
    <row r="12" spans="1:8" ht="13.8" thickBot="1" x14ac:dyDescent="0.3">
      <c r="A12" s="411" t="s">
        <v>259</v>
      </c>
      <c r="B12" s="411" t="s">
        <v>260</v>
      </c>
      <c r="C12" s="411" t="s">
        <v>300</v>
      </c>
      <c r="D12" s="411" t="s">
        <v>309</v>
      </c>
      <c r="E12" s="411" t="s">
        <v>446</v>
      </c>
      <c r="F12" s="411" t="s">
        <v>254</v>
      </c>
      <c r="G12" s="410">
        <v>0</v>
      </c>
      <c r="H12" s="410">
        <v>600</v>
      </c>
    </row>
    <row r="14" spans="1:8" x14ac:dyDescent="0.25">
      <c r="A14" s="412" t="s">
        <v>257</v>
      </c>
      <c r="B14" s="412" t="s">
        <v>277</v>
      </c>
      <c r="C14" s="412" t="s">
        <v>300</v>
      </c>
      <c r="D14" s="412" t="s">
        <v>310</v>
      </c>
      <c r="E14" s="412" t="s">
        <v>447</v>
      </c>
      <c r="F14" s="412" t="s">
        <v>254</v>
      </c>
      <c r="G14" s="20">
        <v>33.29</v>
      </c>
      <c r="H14" s="20">
        <v>0</v>
      </c>
    </row>
    <row r="15" spans="1:8" x14ac:dyDescent="0.25">
      <c r="A15" s="412" t="s">
        <v>259</v>
      </c>
      <c r="B15" s="412" t="s">
        <v>260</v>
      </c>
      <c r="C15" s="412" t="s">
        <v>300</v>
      </c>
      <c r="D15" s="412" t="s">
        <v>309</v>
      </c>
      <c r="E15" s="412" t="s">
        <v>447</v>
      </c>
      <c r="F15" s="412" t="s">
        <v>254</v>
      </c>
      <c r="G15" s="20">
        <v>0</v>
      </c>
      <c r="H15" s="20">
        <v>33.29</v>
      </c>
    </row>
    <row r="16" spans="1:8" x14ac:dyDescent="0.25">
      <c r="A16" s="412" t="s">
        <v>257</v>
      </c>
      <c r="B16" s="412" t="s">
        <v>277</v>
      </c>
      <c r="C16" s="412" t="s">
        <v>300</v>
      </c>
      <c r="D16" s="412" t="s">
        <v>309</v>
      </c>
      <c r="E16" s="412" t="s">
        <v>448</v>
      </c>
      <c r="F16" s="412" t="s">
        <v>254</v>
      </c>
      <c r="G16" s="20">
        <v>64.319999999999993</v>
      </c>
      <c r="H16" s="20">
        <v>0</v>
      </c>
    </row>
    <row r="17" spans="1:8" ht="13.8" thickBot="1" x14ac:dyDescent="0.3">
      <c r="A17" s="411" t="s">
        <v>259</v>
      </c>
      <c r="B17" s="411" t="s">
        <v>260</v>
      </c>
      <c r="C17" s="411" t="s">
        <v>300</v>
      </c>
      <c r="D17" s="411" t="s">
        <v>309</v>
      </c>
      <c r="E17" s="411" t="s">
        <v>448</v>
      </c>
      <c r="F17" s="411" t="s">
        <v>254</v>
      </c>
      <c r="G17" s="410">
        <v>0</v>
      </c>
      <c r="H17" s="410">
        <v>64.319999999999993</v>
      </c>
    </row>
    <row r="19" spans="1:8" x14ac:dyDescent="0.25">
      <c r="A19" s="412" t="s">
        <v>257</v>
      </c>
      <c r="B19" s="412" t="s">
        <v>277</v>
      </c>
      <c r="C19" s="412" t="s">
        <v>300</v>
      </c>
      <c r="D19" s="412" t="s">
        <v>310</v>
      </c>
      <c r="E19" s="412" t="s">
        <v>447</v>
      </c>
      <c r="F19" s="412" t="s">
        <v>254</v>
      </c>
      <c r="G19" s="20">
        <v>33.29</v>
      </c>
      <c r="H19" s="20">
        <v>0</v>
      </c>
    </row>
    <row r="20" spans="1:8" x14ac:dyDescent="0.25">
      <c r="A20" s="412" t="s">
        <v>259</v>
      </c>
      <c r="B20" s="412" t="s">
        <v>260</v>
      </c>
      <c r="C20" s="412" t="s">
        <v>300</v>
      </c>
      <c r="D20" s="412" t="s">
        <v>309</v>
      </c>
      <c r="E20" s="412" t="s">
        <v>447</v>
      </c>
      <c r="F20" s="412" t="s">
        <v>254</v>
      </c>
      <c r="G20" s="20">
        <v>0</v>
      </c>
      <c r="H20" s="20">
        <v>33.29</v>
      </c>
    </row>
    <row r="21" spans="1:8" x14ac:dyDescent="0.25">
      <c r="A21" s="412" t="s">
        <v>257</v>
      </c>
      <c r="B21" s="412" t="s">
        <v>277</v>
      </c>
      <c r="C21" s="412" t="s">
        <v>300</v>
      </c>
      <c r="D21" s="412" t="s">
        <v>309</v>
      </c>
      <c r="E21" s="412" t="s">
        <v>448</v>
      </c>
      <c r="F21" s="412" t="s">
        <v>254</v>
      </c>
      <c r="G21" s="20">
        <v>64.319999999999993</v>
      </c>
      <c r="H21" s="20">
        <v>0</v>
      </c>
    </row>
    <row r="22" spans="1:8" x14ac:dyDescent="0.25">
      <c r="A22" s="412" t="s">
        <v>259</v>
      </c>
      <c r="B22" s="412" t="s">
        <v>260</v>
      </c>
      <c r="C22" s="412" t="s">
        <v>300</v>
      </c>
      <c r="D22" s="412" t="s">
        <v>309</v>
      </c>
      <c r="E22" s="412" t="s">
        <v>448</v>
      </c>
      <c r="F22" s="412" t="s">
        <v>254</v>
      </c>
      <c r="G22" s="20">
        <v>0</v>
      </c>
      <c r="H22" s="20">
        <v>64.319999999999993</v>
      </c>
    </row>
    <row r="23" spans="1:8" x14ac:dyDescent="0.25">
      <c r="A23" s="412" t="s">
        <v>301</v>
      </c>
      <c r="B23" s="412" t="s">
        <v>302</v>
      </c>
      <c r="C23" s="412" t="s">
        <v>300</v>
      </c>
      <c r="D23" s="412" t="s">
        <v>309</v>
      </c>
      <c r="E23" s="412" t="s">
        <v>449</v>
      </c>
      <c r="F23" s="412" t="s">
        <v>254</v>
      </c>
      <c r="G23" s="20">
        <v>291.67</v>
      </c>
      <c r="H23" s="20">
        <v>0</v>
      </c>
    </row>
    <row r="24" spans="1:8" x14ac:dyDescent="0.25">
      <c r="A24" s="412" t="s">
        <v>259</v>
      </c>
      <c r="B24" s="412" t="s">
        <v>260</v>
      </c>
      <c r="C24" s="412" t="s">
        <v>300</v>
      </c>
      <c r="D24" s="412" t="s">
        <v>309</v>
      </c>
      <c r="E24" s="412" t="s">
        <v>449</v>
      </c>
      <c r="F24" s="412" t="s">
        <v>254</v>
      </c>
      <c r="G24" s="20">
        <v>0</v>
      </c>
      <c r="H24" s="20">
        <v>291.67</v>
      </c>
    </row>
    <row r="25" spans="1:8" x14ac:dyDescent="0.25">
      <c r="A25" s="412" t="s">
        <v>261</v>
      </c>
      <c r="B25" s="412" t="s">
        <v>262</v>
      </c>
      <c r="C25" s="412" t="s">
        <v>300</v>
      </c>
      <c r="D25" s="412" t="s">
        <v>309</v>
      </c>
      <c r="E25" s="412" t="s">
        <v>450</v>
      </c>
      <c r="F25" s="412" t="s">
        <v>254</v>
      </c>
      <c r="G25" s="20">
        <v>275</v>
      </c>
      <c r="H25" s="20">
        <v>0</v>
      </c>
    </row>
    <row r="26" spans="1:8" ht="13.8" thickBot="1" x14ac:dyDescent="0.3">
      <c r="A26" s="411" t="s">
        <v>259</v>
      </c>
      <c r="B26" s="411" t="s">
        <v>260</v>
      </c>
      <c r="C26" s="411" t="s">
        <v>300</v>
      </c>
      <c r="D26" s="411" t="s">
        <v>309</v>
      </c>
      <c r="E26" s="411" t="s">
        <v>450</v>
      </c>
      <c r="F26" s="411" t="s">
        <v>254</v>
      </c>
      <c r="G26" s="410">
        <v>0</v>
      </c>
      <c r="H26" s="410">
        <v>275</v>
      </c>
    </row>
    <row r="28" spans="1:8" x14ac:dyDescent="0.25">
      <c r="A28" s="412" t="s">
        <v>257</v>
      </c>
      <c r="B28" s="412" t="s">
        <v>277</v>
      </c>
      <c r="C28" s="412" t="s">
        <v>300</v>
      </c>
      <c r="D28" s="412" t="s">
        <v>310</v>
      </c>
      <c r="E28" s="412" t="s">
        <v>451</v>
      </c>
      <c r="F28" s="412" t="s">
        <v>254</v>
      </c>
      <c r="G28" s="20">
        <v>216.37</v>
      </c>
      <c r="H28" s="20">
        <v>0</v>
      </c>
    </row>
    <row r="29" spans="1:8" x14ac:dyDescent="0.25">
      <c r="A29" s="412" t="s">
        <v>259</v>
      </c>
      <c r="B29" s="412" t="s">
        <v>260</v>
      </c>
      <c r="C29" s="412" t="s">
        <v>300</v>
      </c>
      <c r="D29" s="412" t="s">
        <v>309</v>
      </c>
      <c r="E29" s="412" t="s">
        <v>451</v>
      </c>
      <c r="F29" s="412" t="s">
        <v>254</v>
      </c>
      <c r="G29" s="20">
        <v>0</v>
      </c>
      <c r="H29" s="20">
        <v>216.37</v>
      </c>
    </row>
    <row r="30" spans="1:8" x14ac:dyDescent="0.25">
      <c r="A30" s="412" t="s">
        <v>257</v>
      </c>
      <c r="B30" s="412" t="s">
        <v>277</v>
      </c>
      <c r="C30" s="412" t="s">
        <v>300</v>
      </c>
      <c r="D30" s="412" t="s">
        <v>311</v>
      </c>
      <c r="E30" s="412" t="s">
        <v>452</v>
      </c>
      <c r="F30" s="412" t="s">
        <v>254</v>
      </c>
      <c r="G30" s="20">
        <v>418.06</v>
      </c>
      <c r="H30" s="20">
        <v>0</v>
      </c>
    </row>
    <row r="31" spans="1:8" ht="13.8" thickBot="1" x14ac:dyDescent="0.3">
      <c r="A31" s="411" t="s">
        <v>259</v>
      </c>
      <c r="B31" s="411" t="s">
        <v>260</v>
      </c>
      <c r="C31" s="411" t="s">
        <v>300</v>
      </c>
      <c r="D31" s="411" t="s">
        <v>309</v>
      </c>
      <c r="E31" s="411" t="s">
        <v>452</v>
      </c>
      <c r="F31" s="411" t="s">
        <v>254</v>
      </c>
      <c r="G31" s="410">
        <v>0</v>
      </c>
      <c r="H31" s="410">
        <v>418.06</v>
      </c>
    </row>
    <row r="33" spans="1:8" x14ac:dyDescent="0.25">
      <c r="A33" s="412" t="s">
        <v>255</v>
      </c>
      <c r="B33" s="412" t="s">
        <v>256</v>
      </c>
      <c r="C33" s="412" t="s">
        <v>300</v>
      </c>
      <c r="D33" s="412" t="s">
        <v>309</v>
      </c>
      <c r="E33" s="412" t="s">
        <v>453</v>
      </c>
      <c r="F33" s="412" t="s">
        <v>254</v>
      </c>
      <c r="G33" s="20">
        <v>0</v>
      </c>
      <c r="H33" s="20">
        <v>156.99</v>
      </c>
    </row>
    <row r="34" spans="1:8" x14ac:dyDescent="0.25">
      <c r="A34" s="412" t="s">
        <v>255</v>
      </c>
      <c r="B34" s="412" t="s">
        <v>256</v>
      </c>
      <c r="C34" s="412" t="s">
        <v>300</v>
      </c>
      <c r="D34" s="412" t="s">
        <v>309</v>
      </c>
      <c r="E34" s="412" t="s">
        <v>454</v>
      </c>
      <c r="F34" s="412" t="s">
        <v>254</v>
      </c>
      <c r="G34" s="20">
        <v>0</v>
      </c>
      <c r="H34" s="20">
        <v>34.47</v>
      </c>
    </row>
    <row r="35" spans="1:8" x14ac:dyDescent="0.25">
      <c r="A35" s="412" t="s">
        <v>438</v>
      </c>
      <c r="B35" s="412" t="s">
        <v>439</v>
      </c>
      <c r="C35" s="412" t="s">
        <v>300</v>
      </c>
      <c r="D35" s="412" t="s">
        <v>309</v>
      </c>
      <c r="E35" s="412" t="s">
        <v>453</v>
      </c>
      <c r="F35" s="412" t="s">
        <v>254</v>
      </c>
      <c r="G35" s="20">
        <v>156.99</v>
      </c>
      <c r="H35" s="20">
        <v>0</v>
      </c>
    </row>
    <row r="36" spans="1:8" ht="13.8" thickBot="1" x14ac:dyDescent="0.3">
      <c r="A36" s="411" t="s">
        <v>263</v>
      </c>
      <c r="B36" s="411" t="s">
        <v>264</v>
      </c>
      <c r="C36" s="411" t="s">
        <v>300</v>
      </c>
      <c r="D36" s="411" t="s">
        <v>309</v>
      </c>
      <c r="E36" s="411" t="s">
        <v>454</v>
      </c>
      <c r="F36" s="411" t="s">
        <v>254</v>
      </c>
      <c r="G36" s="410">
        <v>34.47</v>
      </c>
      <c r="H36" s="410">
        <v>0</v>
      </c>
    </row>
    <row r="38" spans="1:8" x14ac:dyDescent="0.25">
      <c r="A38" s="412" t="s">
        <v>257</v>
      </c>
      <c r="B38" s="412" t="s">
        <v>277</v>
      </c>
      <c r="C38" s="412" t="s">
        <v>300</v>
      </c>
      <c r="D38" s="412" t="s">
        <v>310</v>
      </c>
      <c r="E38" s="412" t="s">
        <v>455</v>
      </c>
      <c r="F38" s="412" t="s">
        <v>254</v>
      </c>
      <c r="G38" s="20">
        <v>0</v>
      </c>
      <c r="H38" s="20">
        <v>38.46</v>
      </c>
    </row>
    <row r="39" spans="1:8" x14ac:dyDescent="0.25">
      <c r="A39" s="412" t="s">
        <v>259</v>
      </c>
      <c r="B39" s="412" t="s">
        <v>260</v>
      </c>
      <c r="C39" s="412" t="s">
        <v>300</v>
      </c>
      <c r="D39" s="412" t="s">
        <v>309</v>
      </c>
      <c r="E39" s="412" t="s">
        <v>455</v>
      </c>
      <c r="F39" s="412" t="s">
        <v>254</v>
      </c>
      <c r="G39" s="20">
        <v>38.46</v>
      </c>
      <c r="H39" s="20">
        <v>0</v>
      </c>
    </row>
    <row r="40" spans="1:8" x14ac:dyDescent="0.25">
      <c r="A40" s="412" t="s">
        <v>257</v>
      </c>
      <c r="B40" s="412" t="s">
        <v>277</v>
      </c>
      <c r="C40" s="412" t="s">
        <v>300</v>
      </c>
      <c r="D40" s="412" t="s">
        <v>309</v>
      </c>
      <c r="E40" s="412" t="s">
        <v>456</v>
      </c>
      <c r="F40" s="412" t="s">
        <v>254</v>
      </c>
      <c r="G40" s="20">
        <v>0</v>
      </c>
      <c r="H40" s="20">
        <v>113.7</v>
      </c>
    </row>
    <row r="41" spans="1:8" ht="13.8" thickBot="1" x14ac:dyDescent="0.3">
      <c r="A41" s="411" t="s">
        <v>259</v>
      </c>
      <c r="B41" s="411" t="s">
        <v>260</v>
      </c>
      <c r="C41" s="411" t="s">
        <v>300</v>
      </c>
      <c r="D41" s="411" t="s">
        <v>309</v>
      </c>
      <c r="E41" s="411" t="s">
        <v>456</v>
      </c>
      <c r="F41" s="411" t="s">
        <v>254</v>
      </c>
      <c r="G41" s="410">
        <v>113.7</v>
      </c>
      <c r="H41" s="410">
        <v>0</v>
      </c>
    </row>
    <row r="43" spans="1:8" x14ac:dyDescent="0.25">
      <c r="A43" s="412" t="s">
        <v>301</v>
      </c>
      <c r="B43" s="412" t="s">
        <v>302</v>
      </c>
      <c r="C43" s="412" t="s">
        <v>300</v>
      </c>
      <c r="D43" s="412" t="s">
        <v>309</v>
      </c>
      <c r="E43" s="412" t="s">
        <v>457</v>
      </c>
      <c r="F43" s="412" t="s">
        <v>254</v>
      </c>
      <c r="G43" s="20">
        <v>291.67</v>
      </c>
      <c r="H43" s="20">
        <v>0</v>
      </c>
    </row>
    <row r="44" spans="1:8" ht="13.8" thickBot="1" x14ac:dyDescent="0.3">
      <c r="A44" s="411" t="s">
        <v>259</v>
      </c>
      <c r="B44" s="411" t="s">
        <v>260</v>
      </c>
      <c r="C44" s="411" t="s">
        <v>300</v>
      </c>
      <c r="D44" s="411" t="s">
        <v>309</v>
      </c>
      <c r="E44" s="411" t="s">
        <v>457</v>
      </c>
      <c r="F44" s="411" t="s">
        <v>254</v>
      </c>
      <c r="G44" s="410">
        <v>0</v>
      </c>
      <c r="H44" s="410">
        <v>291.67</v>
      </c>
    </row>
    <row r="46" spans="1:8" x14ac:dyDescent="0.25">
      <c r="A46" s="412" t="s">
        <v>257</v>
      </c>
      <c r="B46" s="412" t="s">
        <v>277</v>
      </c>
      <c r="C46" s="412" t="s">
        <v>300</v>
      </c>
      <c r="D46" s="412" t="s">
        <v>309</v>
      </c>
      <c r="E46" s="412" t="s">
        <v>458</v>
      </c>
      <c r="F46" s="412" t="s">
        <v>254</v>
      </c>
      <c r="G46" s="20">
        <v>156.44</v>
      </c>
      <c r="H46" s="20">
        <v>0</v>
      </c>
    </row>
    <row r="47" spans="1:8" x14ac:dyDescent="0.25">
      <c r="A47" s="412" t="s">
        <v>257</v>
      </c>
      <c r="B47" s="412" t="s">
        <v>277</v>
      </c>
      <c r="C47" s="412" t="s">
        <v>300</v>
      </c>
      <c r="D47" s="412" t="s">
        <v>310</v>
      </c>
      <c r="E47" s="412" t="s">
        <v>458</v>
      </c>
      <c r="F47" s="412" t="s">
        <v>254</v>
      </c>
      <c r="G47" s="20">
        <v>0</v>
      </c>
      <c r="H47" s="20">
        <v>156.44</v>
      </c>
    </row>
    <row r="48" spans="1:8" x14ac:dyDescent="0.25">
      <c r="A48" s="412" t="s">
        <v>257</v>
      </c>
      <c r="B48" s="412" t="s">
        <v>277</v>
      </c>
      <c r="C48" s="412" t="s">
        <v>300</v>
      </c>
      <c r="D48" s="412" t="s">
        <v>309</v>
      </c>
      <c r="E48" s="412" t="s">
        <v>459</v>
      </c>
      <c r="F48" s="412" t="s">
        <v>254</v>
      </c>
      <c r="G48" s="20">
        <v>273.08999999999997</v>
      </c>
      <c r="H48" s="20">
        <v>0</v>
      </c>
    </row>
    <row r="49" spans="1:8" ht="13.8" thickBot="1" x14ac:dyDescent="0.3">
      <c r="A49" s="411" t="s">
        <v>257</v>
      </c>
      <c r="B49" s="411" t="s">
        <v>277</v>
      </c>
      <c r="C49" s="411" t="s">
        <v>300</v>
      </c>
      <c r="D49" s="411" t="s">
        <v>311</v>
      </c>
      <c r="E49" s="411" t="s">
        <v>459</v>
      </c>
      <c r="F49" s="411" t="s">
        <v>254</v>
      </c>
      <c r="G49" s="410">
        <v>0</v>
      </c>
      <c r="H49" s="410">
        <v>273.08999999999997</v>
      </c>
    </row>
    <row r="51" spans="1:8" x14ac:dyDescent="0.25">
      <c r="A51" s="412" t="s">
        <v>255</v>
      </c>
      <c r="B51" s="412" t="s">
        <v>256</v>
      </c>
      <c r="C51" s="412" t="s">
        <v>300</v>
      </c>
      <c r="D51" s="412" t="s">
        <v>309</v>
      </c>
      <c r="E51" s="412" t="s">
        <v>460</v>
      </c>
      <c r="F51" s="412" t="s">
        <v>254</v>
      </c>
      <c r="G51" s="20">
        <v>0</v>
      </c>
      <c r="H51" s="20">
        <v>156.99</v>
      </c>
    </row>
    <row r="52" spans="1:8" x14ac:dyDescent="0.25">
      <c r="A52" s="412" t="s">
        <v>438</v>
      </c>
      <c r="B52" s="412" t="s">
        <v>439</v>
      </c>
      <c r="C52" s="412" t="s">
        <v>300</v>
      </c>
      <c r="D52" s="412" t="s">
        <v>309</v>
      </c>
      <c r="E52" s="412" t="s">
        <v>460</v>
      </c>
      <c r="F52" s="412" t="s">
        <v>254</v>
      </c>
      <c r="G52" s="20">
        <v>156.99</v>
      </c>
      <c r="H52" s="20">
        <v>0</v>
      </c>
    </row>
    <row r="53" spans="1:8" x14ac:dyDescent="0.25">
      <c r="A53" s="412" t="s">
        <v>255</v>
      </c>
      <c r="B53" s="412" t="s">
        <v>256</v>
      </c>
      <c r="C53" s="412" t="s">
        <v>300</v>
      </c>
      <c r="D53" s="412" t="s">
        <v>309</v>
      </c>
      <c r="E53" s="412" t="s">
        <v>461</v>
      </c>
      <c r="F53" s="412" t="s">
        <v>254</v>
      </c>
      <c r="G53" s="20">
        <v>34.47</v>
      </c>
      <c r="H53" s="20">
        <v>0</v>
      </c>
    </row>
    <row r="54" spans="1:8" ht="13.8" thickBot="1" x14ac:dyDescent="0.3">
      <c r="A54" s="411" t="s">
        <v>263</v>
      </c>
      <c r="B54" s="411" t="s">
        <v>264</v>
      </c>
      <c r="C54" s="411" t="s">
        <v>300</v>
      </c>
      <c r="D54" s="411" t="s">
        <v>309</v>
      </c>
      <c r="E54" s="411" t="s">
        <v>461</v>
      </c>
      <c r="F54" s="411" t="s">
        <v>254</v>
      </c>
      <c r="G54" s="410">
        <v>0</v>
      </c>
      <c r="H54" s="410">
        <v>34.47</v>
      </c>
    </row>
    <row r="56" spans="1:8" x14ac:dyDescent="0.25">
      <c r="A56" s="412" t="s">
        <v>259</v>
      </c>
      <c r="B56" s="412" t="s">
        <v>260</v>
      </c>
      <c r="C56" s="412" t="s">
        <v>300</v>
      </c>
      <c r="D56" s="412" t="s">
        <v>309</v>
      </c>
      <c r="E56" s="412" t="s">
        <v>462</v>
      </c>
      <c r="F56" s="412" t="s">
        <v>254</v>
      </c>
      <c r="G56" s="20">
        <v>0</v>
      </c>
      <c r="H56" s="20">
        <v>135</v>
      </c>
    </row>
    <row r="57" spans="1:8" ht="13.8" thickBot="1" x14ac:dyDescent="0.3">
      <c r="A57" s="411" t="s">
        <v>335</v>
      </c>
      <c r="B57" s="411" t="s">
        <v>334</v>
      </c>
      <c r="C57" s="411" t="s">
        <v>300</v>
      </c>
      <c r="D57" s="411" t="s">
        <v>309</v>
      </c>
      <c r="E57" s="411" t="s">
        <v>462</v>
      </c>
      <c r="F57" s="411" t="s">
        <v>254</v>
      </c>
      <c r="G57" s="410">
        <v>135</v>
      </c>
      <c r="H57" s="410">
        <v>0</v>
      </c>
    </row>
    <row r="59" spans="1:8" x14ac:dyDescent="0.25">
      <c r="A59" s="412" t="s">
        <v>259</v>
      </c>
      <c r="B59" s="412" t="s">
        <v>260</v>
      </c>
      <c r="C59" s="412" t="s">
        <v>300</v>
      </c>
      <c r="D59" s="412" t="s">
        <v>309</v>
      </c>
      <c r="E59" s="412" t="s">
        <v>463</v>
      </c>
      <c r="F59" s="412" t="s">
        <v>254</v>
      </c>
      <c r="G59" s="20">
        <v>0</v>
      </c>
      <c r="H59" s="20">
        <v>25.1</v>
      </c>
    </row>
    <row r="60" spans="1:8" ht="13.8" thickBot="1" x14ac:dyDescent="0.3">
      <c r="A60" s="411" t="s">
        <v>427</v>
      </c>
      <c r="B60" s="411" t="s">
        <v>428</v>
      </c>
      <c r="C60" s="411" t="s">
        <v>300</v>
      </c>
      <c r="D60" s="411" t="s">
        <v>309</v>
      </c>
      <c r="E60" s="411" t="s">
        <v>463</v>
      </c>
      <c r="F60" s="411" t="s">
        <v>254</v>
      </c>
      <c r="G60" s="410">
        <v>25.1</v>
      </c>
      <c r="H60" s="410">
        <v>0</v>
      </c>
    </row>
    <row r="62" spans="1:8" x14ac:dyDescent="0.25">
      <c r="A62" s="412" t="s">
        <v>255</v>
      </c>
      <c r="B62" s="412" t="s">
        <v>256</v>
      </c>
      <c r="C62" s="412" t="s">
        <v>300</v>
      </c>
      <c r="D62" s="412" t="s">
        <v>309</v>
      </c>
      <c r="E62" s="412" t="s">
        <v>464</v>
      </c>
      <c r="F62" s="412" t="s">
        <v>254</v>
      </c>
      <c r="G62" s="20">
        <v>0</v>
      </c>
      <c r="H62" s="20">
        <v>34.47</v>
      </c>
    </row>
    <row r="63" spans="1:8" x14ac:dyDescent="0.25">
      <c r="A63" s="412" t="s">
        <v>255</v>
      </c>
      <c r="B63" s="412" t="s">
        <v>256</v>
      </c>
      <c r="C63" s="412" t="s">
        <v>300</v>
      </c>
      <c r="D63" s="412" t="s">
        <v>309</v>
      </c>
      <c r="E63" s="412" t="s">
        <v>461</v>
      </c>
      <c r="F63" s="412" t="s">
        <v>254</v>
      </c>
      <c r="G63" s="20">
        <v>0</v>
      </c>
      <c r="H63" s="20">
        <v>34.47</v>
      </c>
    </row>
    <row r="64" spans="1:8" x14ac:dyDescent="0.25">
      <c r="A64" s="412" t="s">
        <v>263</v>
      </c>
      <c r="B64" s="412" t="s">
        <v>264</v>
      </c>
      <c r="C64" s="412" t="s">
        <v>300</v>
      </c>
      <c r="D64" s="412" t="s">
        <v>309</v>
      </c>
      <c r="E64" s="412" t="s">
        <v>464</v>
      </c>
      <c r="F64" s="412" t="s">
        <v>254</v>
      </c>
      <c r="G64" s="20">
        <v>34.47</v>
      </c>
      <c r="H64" s="20">
        <v>0</v>
      </c>
    </row>
    <row r="65" spans="1:8" ht="13.8" thickBot="1" x14ac:dyDescent="0.3">
      <c r="A65" s="411" t="s">
        <v>263</v>
      </c>
      <c r="B65" s="411" t="s">
        <v>264</v>
      </c>
      <c r="C65" s="411" t="s">
        <v>300</v>
      </c>
      <c r="D65" s="411" t="s">
        <v>309</v>
      </c>
      <c r="E65" s="411" t="s">
        <v>464</v>
      </c>
      <c r="F65" s="411" t="s">
        <v>254</v>
      </c>
      <c r="G65" s="410">
        <v>34.47</v>
      </c>
      <c r="H65" s="410">
        <v>0</v>
      </c>
    </row>
    <row r="67" spans="1:8" x14ac:dyDescent="0.25">
      <c r="A67" s="412" t="s">
        <v>261</v>
      </c>
      <c r="B67" s="412" t="s">
        <v>262</v>
      </c>
      <c r="C67" s="412" t="s">
        <v>300</v>
      </c>
      <c r="D67" s="412" t="s">
        <v>309</v>
      </c>
      <c r="E67" s="412" t="s">
        <v>465</v>
      </c>
      <c r="F67" s="412" t="s">
        <v>254</v>
      </c>
      <c r="G67" s="20">
        <v>275</v>
      </c>
      <c r="H67" s="20">
        <v>0</v>
      </c>
    </row>
    <row r="68" spans="1:8" x14ac:dyDescent="0.25">
      <c r="A68" s="412" t="s">
        <v>259</v>
      </c>
      <c r="B68" s="412" t="s">
        <v>260</v>
      </c>
      <c r="C68" s="412" t="s">
        <v>300</v>
      </c>
      <c r="D68" s="412" t="s">
        <v>309</v>
      </c>
      <c r="E68" s="412" t="s">
        <v>465</v>
      </c>
      <c r="F68" s="412" t="s">
        <v>254</v>
      </c>
      <c r="G68" s="20">
        <v>0</v>
      </c>
      <c r="H68" s="20">
        <v>275</v>
      </c>
    </row>
    <row r="69" spans="1:8" x14ac:dyDescent="0.25">
      <c r="A69" s="412" t="s">
        <v>301</v>
      </c>
      <c r="B69" s="412" t="s">
        <v>302</v>
      </c>
      <c r="C69" s="412" t="s">
        <v>300</v>
      </c>
      <c r="D69" s="412" t="s">
        <v>309</v>
      </c>
      <c r="E69" s="412" t="s">
        <v>466</v>
      </c>
      <c r="F69" s="412" t="s">
        <v>254</v>
      </c>
      <c r="G69" s="20">
        <v>291.67</v>
      </c>
      <c r="H69" s="20">
        <v>0</v>
      </c>
    </row>
    <row r="70" spans="1:8" x14ac:dyDescent="0.25">
      <c r="A70" s="412" t="s">
        <v>259</v>
      </c>
      <c r="B70" s="412" t="s">
        <v>260</v>
      </c>
      <c r="C70" s="412" t="s">
        <v>300</v>
      </c>
      <c r="D70" s="412" t="s">
        <v>309</v>
      </c>
      <c r="E70" s="412" t="s">
        <v>466</v>
      </c>
      <c r="F70" s="412" t="s">
        <v>254</v>
      </c>
      <c r="G70" s="20">
        <v>0</v>
      </c>
      <c r="H70" s="20">
        <v>291.67</v>
      </c>
    </row>
    <row r="71" spans="1:8" x14ac:dyDescent="0.25">
      <c r="A71" s="412" t="s">
        <v>257</v>
      </c>
      <c r="B71" s="412" t="s">
        <v>277</v>
      </c>
      <c r="C71" s="412" t="s">
        <v>300</v>
      </c>
      <c r="D71" s="412" t="s">
        <v>310</v>
      </c>
      <c r="E71" s="412" t="s">
        <v>467</v>
      </c>
      <c r="F71" s="412" t="s">
        <v>254</v>
      </c>
      <c r="G71" s="20">
        <v>0</v>
      </c>
      <c r="H71" s="20">
        <v>161.25</v>
      </c>
    </row>
    <row r="72" spans="1:8" x14ac:dyDescent="0.25">
      <c r="A72" s="412" t="s">
        <v>257</v>
      </c>
      <c r="B72" s="412" t="s">
        <v>277</v>
      </c>
      <c r="C72" s="412" t="s">
        <v>300</v>
      </c>
      <c r="D72" s="412" t="s">
        <v>309</v>
      </c>
      <c r="E72" s="412" t="s">
        <v>467</v>
      </c>
      <c r="F72" s="412" t="s">
        <v>254</v>
      </c>
      <c r="G72" s="20">
        <v>0</v>
      </c>
      <c r="H72" s="20">
        <v>80.63</v>
      </c>
    </row>
    <row r="73" spans="1:8" x14ac:dyDescent="0.25">
      <c r="A73" s="412" t="s">
        <v>257</v>
      </c>
      <c r="B73" s="412" t="s">
        <v>277</v>
      </c>
      <c r="C73" s="412" t="s">
        <v>300</v>
      </c>
      <c r="D73" s="412" t="s">
        <v>311</v>
      </c>
      <c r="E73" s="412" t="s">
        <v>468</v>
      </c>
      <c r="F73" s="412" t="s">
        <v>254</v>
      </c>
      <c r="G73" s="20">
        <v>0</v>
      </c>
      <c r="H73" s="20">
        <v>270</v>
      </c>
    </row>
    <row r="74" spans="1:8" x14ac:dyDescent="0.25">
      <c r="A74" s="412" t="s">
        <v>257</v>
      </c>
      <c r="B74" s="412" t="s">
        <v>277</v>
      </c>
      <c r="C74" s="412" t="s">
        <v>300</v>
      </c>
      <c r="D74" s="412" t="s">
        <v>309</v>
      </c>
      <c r="E74" s="412" t="s">
        <v>468</v>
      </c>
      <c r="F74" s="412" t="s">
        <v>254</v>
      </c>
      <c r="G74" s="20">
        <v>0</v>
      </c>
      <c r="H74" s="20">
        <v>135</v>
      </c>
    </row>
    <row r="75" spans="1:8" x14ac:dyDescent="0.25">
      <c r="A75" s="412" t="s">
        <v>259</v>
      </c>
      <c r="B75" s="412" t="s">
        <v>260</v>
      </c>
      <c r="C75" s="412" t="s">
        <v>300</v>
      </c>
      <c r="D75" s="412" t="s">
        <v>309</v>
      </c>
      <c r="E75" s="412" t="s">
        <v>467</v>
      </c>
      <c r="F75" s="412" t="s">
        <v>254</v>
      </c>
      <c r="G75" s="20">
        <v>241.88</v>
      </c>
      <c r="H75" s="20">
        <v>0</v>
      </c>
    </row>
    <row r="76" spans="1:8" x14ac:dyDescent="0.25">
      <c r="A76" s="412" t="s">
        <v>259</v>
      </c>
      <c r="B76" s="412" t="s">
        <v>260</v>
      </c>
      <c r="C76" s="412" t="s">
        <v>300</v>
      </c>
      <c r="D76" s="412" t="s">
        <v>309</v>
      </c>
      <c r="E76" s="412" t="s">
        <v>468</v>
      </c>
      <c r="F76" s="412" t="s">
        <v>254</v>
      </c>
      <c r="G76" s="20">
        <v>405</v>
      </c>
      <c r="H76" s="20">
        <v>0</v>
      </c>
    </row>
    <row r="77" spans="1:8" x14ac:dyDescent="0.25">
      <c r="A77" s="412" t="s">
        <v>257</v>
      </c>
      <c r="B77" s="412" t="s">
        <v>277</v>
      </c>
      <c r="C77" s="412" t="s">
        <v>300</v>
      </c>
      <c r="D77" s="412" t="s">
        <v>309</v>
      </c>
      <c r="E77" s="412" t="s">
        <v>469</v>
      </c>
      <c r="F77" s="412" t="s">
        <v>254</v>
      </c>
      <c r="G77" s="20">
        <v>74.150000000000006</v>
      </c>
      <c r="H77" s="20">
        <v>0</v>
      </c>
    </row>
    <row r="78" spans="1:8" x14ac:dyDescent="0.25">
      <c r="A78" s="412" t="s">
        <v>257</v>
      </c>
      <c r="B78" s="412" t="s">
        <v>277</v>
      </c>
      <c r="C78" s="412" t="s">
        <v>300</v>
      </c>
      <c r="D78" s="412" t="s">
        <v>310</v>
      </c>
      <c r="E78" s="412" t="s">
        <v>469</v>
      </c>
      <c r="F78" s="412" t="s">
        <v>254</v>
      </c>
      <c r="G78" s="20">
        <v>0</v>
      </c>
      <c r="H78" s="20">
        <v>74.150000000000006</v>
      </c>
    </row>
    <row r="79" spans="1:8" x14ac:dyDescent="0.25">
      <c r="A79" s="412" t="s">
        <v>257</v>
      </c>
      <c r="B79" s="412" t="s">
        <v>277</v>
      </c>
      <c r="C79" s="412" t="s">
        <v>300</v>
      </c>
      <c r="D79" s="412" t="s">
        <v>309</v>
      </c>
      <c r="E79" s="412" t="s">
        <v>470</v>
      </c>
      <c r="F79" s="412" t="s">
        <v>254</v>
      </c>
      <c r="G79" s="20">
        <v>87.78</v>
      </c>
      <c r="H79" s="20">
        <v>0</v>
      </c>
    </row>
    <row r="80" spans="1:8" ht="13.8" thickBot="1" x14ac:dyDescent="0.3">
      <c r="A80" s="411" t="s">
        <v>257</v>
      </c>
      <c r="B80" s="411" t="s">
        <v>277</v>
      </c>
      <c r="C80" s="411" t="s">
        <v>300</v>
      </c>
      <c r="D80" s="411" t="s">
        <v>311</v>
      </c>
      <c r="E80" s="411" t="s">
        <v>470</v>
      </c>
      <c r="F80" s="411" t="s">
        <v>254</v>
      </c>
      <c r="G80" s="410">
        <v>0</v>
      </c>
      <c r="H80" s="410">
        <v>87.78</v>
      </c>
    </row>
    <row r="83" spans="1:8" x14ac:dyDescent="0.25">
      <c r="A83" s="412" t="s">
        <v>255</v>
      </c>
      <c r="B83" s="412" t="s">
        <v>256</v>
      </c>
      <c r="C83" s="412" t="s">
        <v>300</v>
      </c>
      <c r="D83" s="412" t="s">
        <v>309</v>
      </c>
      <c r="E83" s="412" t="s">
        <v>471</v>
      </c>
      <c r="F83" s="412" t="s">
        <v>254</v>
      </c>
      <c r="G83" s="20">
        <v>0</v>
      </c>
      <c r="H83" s="20">
        <v>156.99</v>
      </c>
    </row>
    <row r="84" spans="1:8" x14ac:dyDescent="0.25">
      <c r="A84" s="412" t="s">
        <v>438</v>
      </c>
      <c r="B84" s="412" t="s">
        <v>439</v>
      </c>
      <c r="C84" s="412" t="s">
        <v>300</v>
      </c>
      <c r="D84" s="412" t="s">
        <v>309</v>
      </c>
      <c r="E84" s="412" t="s">
        <v>471</v>
      </c>
      <c r="F84" s="412" t="s">
        <v>254</v>
      </c>
      <c r="G84" s="20">
        <v>156.99</v>
      </c>
      <c r="H84" s="20">
        <v>0</v>
      </c>
    </row>
    <row r="85" spans="1:8" x14ac:dyDescent="0.25">
      <c r="A85" s="412" t="s">
        <v>255</v>
      </c>
      <c r="B85" s="412" t="s">
        <v>256</v>
      </c>
      <c r="C85" s="412" t="s">
        <v>300</v>
      </c>
      <c r="D85" s="412" t="s">
        <v>309</v>
      </c>
      <c r="E85" s="412" t="s">
        <v>472</v>
      </c>
      <c r="F85" s="412" t="s">
        <v>254</v>
      </c>
      <c r="G85" s="20">
        <v>0</v>
      </c>
      <c r="H85" s="20">
        <v>34.47</v>
      </c>
    </row>
    <row r="86" spans="1:8" ht="13.8" thickBot="1" x14ac:dyDescent="0.3">
      <c r="A86" s="411" t="s">
        <v>263</v>
      </c>
      <c r="B86" s="411" t="s">
        <v>264</v>
      </c>
      <c r="C86" s="411" t="s">
        <v>300</v>
      </c>
      <c r="D86" s="411" t="s">
        <v>309</v>
      </c>
      <c r="E86" s="411" t="s">
        <v>472</v>
      </c>
      <c r="F86" s="411" t="s">
        <v>254</v>
      </c>
      <c r="G86" s="410">
        <v>34.47</v>
      </c>
      <c r="H86" s="410">
        <v>0</v>
      </c>
    </row>
    <row r="89" spans="1:8" x14ac:dyDescent="0.25">
      <c r="A89" s="412" t="s">
        <v>301</v>
      </c>
      <c r="B89" s="412" t="s">
        <v>302</v>
      </c>
      <c r="C89" s="412" t="s">
        <v>300</v>
      </c>
      <c r="D89" s="412" t="s">
        <v>309</v>
      </c>
      <c r="E89" s="412" t="s">
        <v>473</v>
      </c>
      <c r="F89" s="412" t="s">
        <v>254</v>
      </c>
      <c r="G89" s="20">
        <v>291.67</v>
      </c>
      <c r="H89" s="20">
        <v>0</v>
      </c>
    </row>
    <row r="90" spans="1:8" x14ac:dyDescent="0.25">
      <c r="A90" s="412" t="s">
        <v>259</v>
      </c>
      <c r="B90" s="412" t="s">
        <v>260</v>
      </c>
      <c r="C90" s="412" t="s">
        <v>300</v>
      </c>
      <c r="D90" s="412" t="s">
        <v>309</v>
      </c>
      <c r="E90" s="412" t="s">
        <v>473</v>
      </c>
      <c r="F90" s="412" t="s">
        <v>254</v>
      </c>
      <c r="G90" s="20">
        <v>0</v>
      </c>
      <c r="H90" s="20">
        <v>291.67</v>
      </c>
    </row>
    <row r="91" spans="1:8" x14ac:dyDescent="0.25">
      <c r="A91" s="412" t="s">
        <v>257</v>
      </c>
      <c r="B91" s="412" t="s">
        <v>277</v>
      </c>
      <c r="C91" s="412" t="s">
        <v>300</v>
      </c>
      <c r="D91" s="412" t="s">
        <v>309</v>
      </c>
      <c r="E91" s="412" t="s">
        <v>474</v>
      </c>
      <c r="F91" s="412" t="s">
        <v>254</v>
      </c>
      <c r="G91" s="20">
        <v>237.79</v>
      </c>
      <c r="H91" s="20">
        <v>0</v>
      </c>
    </row>
    <row r="92" spans="1:8" x14ac:dyDescent="0.25">
      <c r="A92" s="412" t="s">
        <v>259</v>
      </c>
      <c r="B92" s="412" t="s">
        <v>260</v>
      </c>
      <c r="C92" s="412" t="s">
        <v>300</v>
      </c>
      <c r="D92" s="412" t="s">
        <v>309</v>
      </c>
      <c r="E92" s="412" t="s">
        <v>474</v>
      </c>
      <c r="F92" s="412" t="s">
        <v>254</v>
      </c>
      <c r="G92" s="20">
        <v>0</v>
      </c>
      <c r="H92" s="20">
        <v>237.79</v>
      </c>
    </row>
    <row r="93" spans="1:8" x14ac:dyDescent="0.25">
      <c r="A93" s="412" t="s">
        <v>257</v>
      </c>
      <c r="B93" s="412" t="s">
        <v>277</v>
      </c>
      <c r="C93" s="412" t="s">
        <v>300</v>
      </c>
      <c r="D93" s="412" t="s">
        <v>309</v>
      </c>
      <c r="E93" s="412" t="s">
        <v>475</v>
      </c>
      <c r="F93" s="412" t="s">
        <v>254</v>
      </c>
      <c r="G93" s="20">
        <v>281.51</v>
      </c>
      <c r="H93" s="20">
        <v>0</v>
      </c>
    </row>
    <row r="94" spans="1:8" x14ac:dyDescent="0.25">
      <c r="A94" s="412" t="s">
        <v>259</v>
      </c>
      <c r="B94" s="412" t="s">
        <v>260</v>
      </c>
      <c r="C94" s="412" t="s">
        <v>300</v>
      </c>
      <c r="D94" s="412" t="s">
        <v>309</v>
      </c>
      <c r="E94" s="412" t="s">
        <v>475</v>
      </c>
      <c r="F94" s="412" t="s">
        <v>254</v>
      </c>
      <c r="G94" s="20">
        <v>0</v>
      </c>
      <c r="H94" s="20">
        <v>281.51</v>
      </c>
    </row>
    <row r="95" spans="1:8" x14ac:dyDescent="0.25">
      <c r="A95" s="412" t="s">
        <v>261</v>
      </c>
      <c r="B95" s="412" t="s">
        <v>262</v>
      </c>
      <c r="C95" s="412" t="s">
        <v>300</v>
      </c>
      <c r="D95" s="412" t="s">
        <v>309</v>
      </c>
      <c r="E95" s="412" t="s">
        <v>476</v>
      </c>
      <c r="F95" s="412" t="s">
        <v>254</v>
      </c>
      <c r="G95" s="20">
        <v>275</v>
      </c>
      <c r="H95" s="20">
        <v>0</v>
      </c>
    </row>
    <row r="96" spans="1:8" ht="13.8" thickBot="1" x14ac:dyDescent="0.3">
      <c r="A96" s="411" t="s">
        <v>259</v>
      </c>
      <c r="B96" s="411" t="s">
        <v>260</v>
      </c>
      <c r="C96" s="411" t="s">
        <v>300</v>
      </c>
      <c r="D96" s="411" t="s">
        <v>309</v>
      </c>
      <c r="E96" s="411" t="s">
        <v>476</v>
      </c>
      <c r="F96" s="411" t="s">
        <v>254</v>
      </c>
      <c r="G96" s="410">
        <v>0</v>
      </c>
      <c r="H96" s="410">
        <v>275</v>
      </c>
    </row>
    <row r="98" spans="1:8" x14ac:dyDescent="0.25">
      <c r="A98" s="412" t="s">
        <v>257</v>
      </c>
      <c r="B98" s="412" t="s">
        <v>277</v>
      </c>
      <c r="C98" s="412" t="s">
        <v>300</v>
      </c>
      <c r="D98" s="412" t="s">
        <v>310</v>
      </c>
      <c r="E98" s="412" t="s">
        <v>477</v>
      </c>
      <c r="F98" s="412" t="s">
        <v>254</v>
      </c>
      <c r="G98" s="20">
        <v>0</v>
      </c>
      <c r="H98" s="20">
        <v>79.260000000000005</v>
      </c>
    </row>
    <row r="99" spans="1:8" x14ac:dyDescent="0.25">
      <c r="A99" s="412" t="s">
        <v>257</v>
      </c>
      <c r="B99" s="412" t="s">
        <v>277</v>
      </c>
      <c r="C99" s="412" t="s">
        <v>300</v>
      </c>
      <c r="D99" s="412" t="s">
        <v>309</v>
      </c>
      <c r="E99" s="412" t="s">
        <v>477</v>
      </c>
      <c r="F99" s="412" t="s">
        <v>254</v>
      </c>
      <c r="G99" s="20">
        <v>79.260000000000005</v>
      </c>
      <c r="H99" s="20">
        <v>0</v>
      </c>
    </row>
    <row r="100" spans="1:8" x14ac:dyDescent="0.25">
      <c r="A100" s="412" t="s">
        <v>257</v>
      </c>
      <c r="B100" s="412" t="s">
        <v>277</v>
      </c>
      <c r="C100" s="412" t="s">
        <v>300</v>
      </c>
      <c r="D100" s="412" t="s">
        <v>311</v>
      </c>
      <c r="E100" s="412" t="s">
        <v>478</v>
      </c>
      <c r="F100" s="412" t="s">
        <v>254</v>
      </c>
      <c r="G100" s="20">
        <v>0</v>
      </c>
      <c r="H100" s="20">
        <v>93.84</v>
      </c>
    </row>
    <row r="101" spans="1:8" ht="13.8" thickBot="1" x14ac:dyDescent="0.3">
      <c r="A101" s="411" t="s">
        <v>257</v>
      </c>
      <c r="B101" s="411" t="s">
        <v>277</v>
      </c>
      <c r="C101" s="411" t="s">
        <v>300</v>
      </c>
      <c r="D101" s="411" t="s">
        <v>309</v>
      </c>
      <c r="E101" s="411" t="s">
        <v>478</v>
      </c>
      <c r="F101" s="411" t="s">
        <v>254</v>
      </c>
      <c r="G101" s="410">
        <v>93.84</v>
      </c>
      <c r="H101" s="410">
        <v>0</v>
      </c>
    </row>
    <row r="103" spans="1:8" x14ac:dyDescent="0.25">
      <c r="A103" s="412" t="s">
        <v>257</v>
      </c>
      <c r="B103" s="412" t="s">
        <v>277</v>
      </c>
      <c r="C103" s="412" t="s">
        <v>300</v>
      </c>
      <c r="D103" s="412" t="s">
        <v>309</v>
      </c>
      <c r="E103" s="412" t="s">
        <v>479</v>
      </c>
      <c r="F103" s="412" t="s">
        <v>254</v>
      </c>
      <c r="G103" s="20">
        <v>86.04</v>
      </c>
      <c r="H103" s="20">
        <v>0</v>
      </c>
    </row>
    <row r="104" spans="1:8" x14ac:dyDescent="0.25">
      <c r="A104" s="412" t="s">
        <v>257</v>
      </c>
      <c r="B104" s="412" t="s">
        <v>277</v>
      </c>
      <c r="C104" s="412" t="s">
        <v>300</v>
      </c>
      <c r="D104" s="412" t="s">
        <v>310</v>
      </c>
      <c r="E104" s="412" t="s">
        <v>479</v>
      </c>
      <c r="F104" s="412" t="s">
        <v>254</v>
      </c>
      <c r="G104" s="20">
        <v>0</v>
      </c>
      <c r="H104" s="20">
        <v>86.04</v>
      </c>
    </row>
    <row r="105" spans="1:8" x14ac:dyDescent="0.25">
      <c r="A105" s="412" t="s">
        <v>257</v>
      </c>
      <c r="B105" s="412" t="s">
        <v>277</v>
      </c>
      <c r="C105" s="412" t="s">
        <v>300</v>
      </c>
      <c r="D105" s="412" t="s">
        <v>309</v>
      </c>
      <c r="E105" s="412" t="s">
        <v>480</v>
      </c>
      <c r="F105" s="412" t="s">
        <v>254</v>
      </c>
      <c r="G105" s="20">
        <v>150.19999999999999</v>
      </c>
      <c r="H105" s="20">
        <v>0</v>
      </c>
    </row>
    <row r="106" spans="1:8" ht="13.8" thickBot="1" x14ac:dyDescent="0.3">
      <c r="A106" s="411" t="s">
        <v>257</v>
      </c>
      <c r="B106" s="411" t="s">
        <v>277</v>
      </c>
      <c r="C106" s="411" t="s">
        <v>300</v>
      </c>
      <c r="D106" s="411" t="s">
        <v>311</v>
      </c>
      <c r="E106" s="411" t="s">
        <v>480</v>
      </c>
      <c r="F106" s="411" t="s">
        <v>254</v>
      </c>
      <c r="G106" s="410">
        <v>0</v>
      </c>
      <c r="H106" s="410">
        <v>150.19999999999999</v>
      </c>
    </row>
    <row r="108" spans="1:8" x14ac:dyDescent="0.25">
      <c r="A108" s="412" t="s">
        <v>261</v>
      </c>
      <c r="B108" s="412" t="s">
        <v>262</v>
      </c>
      <c r="C108" s="412" t="s">
        <v>300</v>
      </c>
      <c r="D108" s="412" t="s">
        <v>309</v>
      </c>
      <c r="E108" s="418" t="s">
        <v>481</v>
      </c>
      <c r="F108" s="412" t="s">
        <v>254</v>
      </c>
      <c r="G108" s="20">
        <v>275</v>
      </c>
      <c r="H108" s="20">
        <v>0</v>
      </c>
    </row>
    <row r="109" spans="1:8" x14ac:dyDescent="0.25">
      <c r="A109" s="412" t="s">
        <v>259</v>
      </c>
      <c r="B109" s="412" t="s">
        <v>260</v>
      </c>
      <c r="C109" s="412" t="s">
        <v>300</v>
      </c>
      <c r="D109" s="412" t="s">
        <v>309</v>
      </c>
      <c r="E109" s="418" t="s">
        <v>481</v>
      </c>
      <c r="F109" s="412" t="s">
        <v>254</v>
      </c>
      <c r="G109" s="20">
        <v>0</v>
      </c>
      <c r="H109" s="20">
        <v>275</v>
      </c>
    </row>
    <row r="110" spans="1:8" x14ac:dyDescent="0.25">
      <c r="A110" s="412" t="s">
        <v>301</v>
      </c>
      <c r="B110" s="412" t="s">
        <v>302</v>
      </c>
      <c r="C110" s="412" t="s">
        <v>300</v>
      </c>
      <c r="D110" s="412" t="s">
        <v>309</v>
      </c>
      <c r="E110" s="418" t="s">
        <v>482</v>
      </c>
      <c r="F110" s="412" t="s">
        <v>254</v>
      </c>
      <c r="G110" s="20">
        <v>291.67</v>
      </c>
      <c r="H110" s="20">
        <v>0</v>
      </c>
    </row>
    <row r="111" spans="1:8" x14ac:dyDescent="0.25">
      <c r="A111" s="412" t="s">
        <v>259</v>
      </c>
      <c r="B111" s="412" t="s">
        <v>260</v>
      </c>
      <c r="C111" s="412" t="s">
        <v>300</v>
      </c>
      <c r="D111" s="412" t="s">
        <v>309</v>
      </c>
      <c r="E111" s="418" t="s">
        <v>482</v>
      </c>
      <c r="F111" s="412" t="s">
        <v>254</v>
      </c>
      <c r="G111" s="20">
        <v>0</v>
      </c>
      <c r="H111" s="20">
        <v>291.67</v>
      </c>
    </row>
    <row r="112" spans="1:8" x14ac:dyDescent="0.25">
      <c r="A112" s="412" t="s">
        <v>257</v>
      </c>
      <c r="B112" s="412" t="s">
        <v>277</v>
      </c>
      <c r="C112" s="412" t="s">
        <v>300</v>
      </c>
      <c r="D112" s="412" t="s">
        <v>310</v>
      </c>
      <c r="E112" s="418" t="s">
        <v>483</v>
      </c>
      <c r="F112" s="412" t="s">
        <v>254</v>
      </c>
      <c r="G112" s="20">
        <v>4.6399999999999997</v>
      </c>
      <c r="H112" s="20">
        <v>0</v>
      </c>
    </row>
    <row r="113" spans="1:8" x14ac:dyDescent="0.25">
      <c r="A113" s="412" t="s">
        <v>257</v>
      </c>
      <c r="B113" s="412" t="s">
        <v>277</v>
      </c>
      <c r="C113" s="412" t="s">
        <v>300</v>
      </c>
      <c r="D113" s="412" t="s">
        <v>309</v>
      </c>
      <c r="E113" s="418" t="s">
        <v>483</v>
      </c>
      <c r="F113" s="412" t="s">
        <v>254</v>
      </c>
      <c r="G113" s="20">
        <v>2.3199999999999998</v>
      </c>
      <c r="H113" s="20">
        <v>0</v>
      </c>
    </row>
    <row r="114" spans="1:8" x14ac:dyDescent="0.25">
      <c r="A114" s="412" t="s">
        <v>257</v>
      </c>
      <c r="B114" s="412" t="s">
        <v>277</v>
      </c>
      <c r="C114" s="412" t="s">
        <v>300</v>
      </c>
      <c r="D114" s="412" t="s">
        <v>311</v>
      </c>
      <c r="E114" s="418" t="s">
        <v>484</v>
      </c>
      <c r="F114" s="412" t="s">
        <v>254</v>
      </c>
      <c r="G114" s="20">
        <v>0</v>
      </c>
      <c r="H114" s="20">
        <v>20.89</v>
      </c>
    </row>
    <row r="115" spans="1:8" x14ac:dyDescent="0.25">
      <c r="A115" s="412" t="s">
        <v>257</v>
      </c>
      <c r="B115" s="412" t="s">
        <v>277</v>
      </c>
      <c r="C115" s="412" t="s">
        <v>300</v>
      </c>
      <c r="D115" s="412" t="s">
        <v>309</v>
      </c>
      <c r="E115" s="418" t="s">
        <v>484</v>
      </c>
      <c r="F115" s="412" t="s">
        <v>254</v>
      </c>
      <c r="G115" s="20">
        <v>0</v>
      </c>
      <c r="H115" s="20">
        <v>10.44</v>
      </c>
    </row>
    <row r="116" spans="1:8" x14ac:dyDescent="0.25">
      <c r="A116" s="412" t="s">
        <v>259</v>
      </c>
      <c r="B116" s="412" t="s">
        <v>260</v>
      </c>
      <c r="C116" s="412" t="s">
        <v>300</v>
      </c>
      <c r="D116" s="412" t="s">
        <v>309</v>
      </c>
      <c r="E116" s="418" t="s">
        <v>483</v>
      </c>
      <c r="F116" s="412" t="s">
        <v>254</v>
      </c>
      <c r="G116" s="20">
        <v>0</v>
      </c>
      <c r="H116" s="20">
        <v>6.96</v>
      </c>
    </row>
    <row r="117" spans="1:8" x14ac:dyDescent="0.25">
      <c r="A117" s="412" t="s">
        <v>259</v>
      </c>
      <c r="B117" s="412" t="s">
        <v>260</v>
      </c>
      <c r="C117" s="412" t="s">
        <v>300</v>
      </c>
      <c r="D117" s="412" t="s">
        <v>309</v>
      </c>
      <c r="E117" s="418" t="s">
        <v>484</v>
      </c>
      <c r="F117" s="412" t="s">
        <v>254</v>
      </c>
      <c r="G117" s="20">
        <v>31.33</v>
      </c>
      <c r="H117" s="20">
        <v>0</v>
      </c>
    </row>
    <row r="118" spans="1:8" ht="13.8" thickBot="1" x14ac:dyDescent="0.3">
      <c r="A118" s="419"/>
      <c r="B118" s="419"/>
      <c r="C118" s="419"/>
      <c r="D118" s="419"/>
      <c r="E118" s="419"/>
      <c r="F118" s="419"/>
      <c r="G118" s="419"/>
      <c r="H118" s="419"/>
    </row>
    <row r="120" spans="1:8" x14ac:dyDescent="0.25">
      <c r="A120" s="412" t="s">
        <v>255</v>
      </c>
      <c r="B120" s="412" t="s">
        <v>256</v>
      </c>
      <c r="C120" s="412" t="s">
        <v>300</v>
      </c>
      <c r="D120" s="412" t="s">
        <v>309</v>
      </c>
      <c r="E120" s="412" t="s">
        <v>491</v>
      </c>
      <c r="F120" s="412" t="s">
        <v>254</v>
      </c>
      <c r="G120" s="20">
        <v>0</v>
      </c>
      <c r="H120" s="20">
        <v>156.99</v>
      </c>
    </row>
    <row r="121" spans="1:8" x14ac:dyDescent="0.25">
      <c r="A121" s="412" t="s">
        <v>438</v>
      </c>
      <c r="B121" s="412" t="s">
        <v>439</v>
      </c>
      <c r="C121" s="412" t="s">
        <v>300</v>
      </c>
      <c r="D121" s="412" t="s">
        <v>309</v>
      </c>
      <c r="E121" s="412" t="s">
        <v>491</v>
      </c>
      <c r="F121" s="412" t="s">
        <v>254</v>
      </c>
      <c r="G121" s="20">
        <v>156.99</v>
      </c>
      <c r="H121" s="20">
        <v>0</v>
      </c>
    </row>
    <row r="122" spans="1:8" x14ac:dyDescent="0.25">
      <c r="A122" s="412" t="s">
        <v>255</v>
      </c>
      <c r="B122" s="412" t="s">
        <v>256</v>
      </c>
      <c r="C122" s="412" t="s">
        <v>300</v>
      </c>
      <c r="D122" s="412" t="s">
        <v>309</v>
      </c>
      <c r="E122" s="412" t="s">
        <v>490</v>
      </c>
      <c r="F122" s="412" t="s">
        <v>254</v>
      </c>
      <c r="G122" s="20">
        <v>0</v>
      </c>
      <c r="H122" s="20">
        <v>34.47</v>
      </c>
    </row>
    <row r="123" spans="1:8" ht="13.8" thickBot="1" x14ac:dyDescent="0.3">
      <c r="A123" s="411" t="s">
        <v>263</v>
      </c>
      <c r="B123" s="411" t="s">
        <v>264</v>
      </c>
      <c r="C123" s="411" t="s">
        <v>300</v>
      </c>
      <c r="D123" s="411" t="s">
        <v>309</v>
      </c>
      <c r="E123" s="411" t="s">
        <v>490</v>
      </c>
      <c r="F123" s="411" t="s">
        <v>254</v>
      </c>
      <c r="G123" s="410">
        <v>34.47</v>
      </c>
      <c r="H123" s="410">
        <v>0</v>
      </c>
    </row>
    <row r="125" spans="1:8" x14ac:dyDescent="0.25">
      <c r="A125" s="412" t="s">
        <v>257</v>
      </c>
      <c r="B125" s="412" t="s">
        <v>277</v>
      </c>
      <c r="C125" s="412" t="s">
        <v>300</v>
      </c>
      <c r="D125" s="412" t="s">
        <v>309</v>
      </c>
      <c r="E125" s="412" t="s">
        <v>489</v>
      </c>
      <c r="F125" s="412" t="s">
        <v>254</v>
      </c>
      <c r="G125" s="20">
        <v>5.47</v>
      </c>
      <c r="H125" s="20">
        <v>0</v>
      </c>
    </row>
    <row r="126" spans="1:8" x14ac:dyDescent="0.25">
      <c r="A126" s="412" t="s">
        <v>257</v>
      </c>
      <c r="B126" s="412" t="s">
        <v>277</v>
      </c>
      <c r="C126" s="412" t="s">
        <v>300</v>
      </c>
      <c r="D126" s="412" t="s">
        <v>310</v>
      </c>
      <c r="E126" s="412" t="s">
        <v>489</v>
      </c>
      <c r="F126" s="412" t="s">
        <v>254</v>
      </c>
      <c r="G126" s="20">
        <v>0</v>
      </c>
      <c r="H126" s="20">
        <v>5.47</v>
      </c>
    </row>
    <row r="127" spans="1:8" x14ac:dyDescent="0.25">
      <c r="A127" s="412" t="s">
        <v>257</v>
      </c>
      <c r="B127" s="412" t="s">
        <v>277</v>
      </c>
      <c r="C127" s="412" t="s">
        <v>300</v>
      </c>
      <c r="D127" s="412" t="s">
        <v>309</v>
      </c>
      <c r="E127" s="412" t="s">
        <v>488</v>
      </c>
      <c r="F127" s="412" t="s">
        <v>254</v>
      </c>
      <c r="G127" s="20">
        <v>9.1</v>
      </c>
      <c r="H127" s="20">
        <v>0</v>
      </c>
    </row>
    <row r="128" spans="1:8" ht="13.8" thickBot="1" x14ac:dyDescent="0.3">
      <c r="A128" s="411" t="s">
        <v>257</v>
      </c>
      <c r="B128" s="411" t="s">
        <v>277</v>
      </c>
      <c r="C128" s="411" t="s">
        <v>300</v>
      </c>
      <c r="D128" s="411" t="s">
        <v>311</v>
      </c>
      <c r="E128" s="411" t="s">
        <v>488</v>
      </c>
      <c r="F128" s="411" t="s">
        <v>254</v>
      </c>
      <c r="G128" s="410">
        <v>0</v>
      </c>
      <c r="H128" s="410">
        <v>9.1</v>
      </c>
    </row>
    <row r="130" spans="1:8" x14ac:dyDescent="0.25">
      <c r="A130" s="412" t="s">
        <v>257</v>
      </c>
      <c r="B130" s="412" t="s">
        <v>277</v>
      </c>
      <c r="C130" s="412" t="s">
        <v>300</v>
      </c>
      <c r="D130" s="412" t="s">
        <v>310</v>
      </c>
      <c r="E130" s="412" t="s">
        <v>487</v>
      </c>
      <c r="F130" s="412" t="s">
        <v>254</v>
      </c>
      <c r="G130" s="20">
        <v>35.979999999999997</v>
      </c>
      <c r="H130" s="20">
        <v>0</v>
      </c>
    </row>
    <row r="131" spans="1:8" x14ac:dyDescent="0.25">
      <c r="A131" s="412" t="s">
        <v>257</v>
      </c>
      <c r="B131" s="412" t="s">
        <v>277</v>
      </c>
      <c r="C131" s="412" t="s">
        <v>300</v>
      </c>
      <c r="D131" s="412" t="s">
        <v>311</v>
      </c>
      <c r="E131" s="412" t="s">
        <v>486</v>
      </c>
      <c r="F131" s="412" t="s">
        <v>254</v>
      </c>
      <c r="G131" s="20">
        <v>35.979999999999997</v>
      </c>
      <c r="H131" s="20">
        <v>0</v>
      </c>
    </row>
    <row r="132" spans="1:8" ht="13.8" thickBot="1" x14ac:dyDescent="0.3">
      <c r="A132" s="411" t="s">
        <v>257</v>
      </c>
      <c r="B132" s="411" t="s">
        <v>277</v>
      </c>
      <c r="C132" s="411" t="s">
        <v>300</v>
      </c>
      <c r="D132" s="411" t="s">
        <v>309</v>
      </c>
      <c r="E132" s="411" t="s">
        <v>485</v>
      </c>
      <c r="F132" s="411" t="s">
        <v>254</v>
      </c>
      <c r="G132" s="410">
        <v>0</v>
      </c>
      <c r="H132" s="410">
        <v>71.959999999999994</v>
      </c>
    </row>
    <row r="135" spans="1:8" x14ac:dyDescent="0.25">
      <c r="A135" s="412" t="s">
        <v>255</v>
      </c>
      <c r="B135" s="412" t="s">
        <v>256</v>
      </c>
      <c r="C135" s="412" t="s">
        <v>300</v>
      </c>
      <c r="D135" s="412" t="s">
        <v>309</v>
      </c>
      <c r="E135" s="412" t="s">
        <v>494</v>
      </c>
      <c r="F135" s="412" t="s">
        <v>254</v>
      </c>
      <c r="G135" s="20">
        <v>0</v>
      </c>
      <c r="H135" s="20">
        <v>34.47</v>
      </c>
    </row>
    <row r="136" spans="1:8" x14ac:dyDescent="0.25">
      <c r="A136" s="412" t="s">
        <v>263</v>
      </c>
      <c r="B136" s="412" t="s">
        <v>264</v>
      </c>
      <c r="C136" s="412" t="s">
        <v>300</v>
      </c>
      <c r="D136" s="412" t="s">
        <v>309</v>
      </c>
      <c r="E136" s="412" t="s">
        <v>494</v>
      </c>
      <c r="F136" s="412" t="s">
        <v>254</v>
      </c>
      <c r="G136" s="20">
        <v>34.47</v>
      </c>
      <c r="H136" s="20">
        <v>0</v>
      </c>
    </row>
    <row r="137" spans="1:8" x14ac:dyDescent="0.25">
      <c r="A137" s="412" t="s">
        <v>438</v>
      </c>
      <c r="B137" s="412" t="s">
        <v>439</v>
      </c>
      <c r="C137" s="412" t="s">
        <v>300</v>
      </c>
      <c r="D137" s="412" t="s">
        <v>309</v>
      </c>
      <c r="E137" s="412" t="s">
        <v>495</v>
      </c>
      <c r="F137" s="412" t="s">
        <v>254</v>
      </c>
      <c r="G137" s="20">
        <v>156.99</v>
      </c>
      <c r="H137" s="20">
        <v>0</v>
      </c>
    </row>
    <row r="138" spans="1:8" ht="13.8" thickBot="1" x14ac:dyDescent="0.3">
      <c r="A138" s="411" t="s">
        <v>255</v>
      </c>
      <c r="B138" s="411" t="s">
        <v>256</v>
      </c>
      <c r="C138" s="411" t="s">
        <v>300</v>
      </c>
      <c r="D138" s="411" t="s">
        <v>309</v>
      </c>
      <c r="E138" s="411" t="s">
        <v>495</v>
      </c>
      <c r="F138" s="411" t="s">
        <v>254</v>
      </c>
      <c r="G138" s="410">
        <v>0</v>
      </c>
      <c r="H138" s="410">
        <v>156.99</v>
      </c>
    </row>
    <row r="141" spans="1:8" x14ac:dyDescent="0.25">
      <c r="A141" s="412" t="s">
        <v>257</v>
      </c>
      <c r="B141" s="412" t="s">
        <v>258</v>
      </c>
      <c r="C141" s="412" t="s">
        <v>300</v>
      </c>
      <c r="D141" s="412" t="s">
        <v>310</v>
      </c>
      <c r="E141" s="412" t="s">
        <v>496</v>
      </c>
      <c r="F141" s="412" t="s">
        <v>254</v>
      </c>
      <c r="G141" s="20">
        <v>24.93</v>
      </c>
      <c r="H141" s="20">
        <v>0</v>
      </c>
    </row>
    <row r="142" spans="1:8" x14ac:dyDescent="0.25">
      <c r="A142" s="412" t="s">
        <v>257</v>
      </c>
      <c r="B142" s="412" t="s">
        <v>277</v>
      </c>
      <c r="C142" s="412" t="s">
        <v>300</v>
      </c>
      <c r="D142" s="412" t="s">
        <v>309</v>
      </c>
      <c r="E142" s="412" t="s">
        <v>496</v>
      </c>
      <c r="F142" s="412" t="s">
        <v>254</v>
      </c>
      <c r="G142" s="20">
        <v>12.47</v>
      </c>
      <c r="H142" s="20">
        <v>0</v>
      </c>
    </row>
    <row r="143" spans="1:8" x14ac:dyDescent="0.25">
      <c r="A143" s="412" t="s">
        <v>259</v>
      </c>
      <c r="B143" s="412" t="s">
        <v>260</v>
      </c>
      <c r="C143" s="412" t="s">
        <v>300</v>
      </c>
      <c r="D143" s="412" t="s">
        <v>310</v>
      </c>
      <c r="E143" s="412" t="s">
        <v>496</v>
      </c>
      <c r="F143" s="412" t="s">
        <v>254</v>
      </c>
      <c r="G143" s="20">
        <v>0</v>
      </c>
      <c r="H143" s="20">
        <v>37.409999999999997</v>
      </c>
    </row>
    <row r="144" spans="1:8" x14ac:dyDescent="0.25">
      <c r="A144" s="412" t="s">
        <v>257</v>
      </c>
      <c r="B144" s="412" t="s">
        <v>277</v>
      </c>
      <c r="C144" s="412" t="s">
        <v>300</v>
      </c>
      <c r="D144" s="412" t="s">
        <v>311</v>
      </c>
      <c r="E144" s="412" t="s">
        <v>497</v>
      </c>
      <c r="F144" s="412" t="s">
        <v>254</v>
      </c>
      <c r="G144" s="20">
        <v>4.1100000000000003</v>
      </c>
      <c r="H144" s="20">
        <v>0</v>
      </c>
    </row>
    <row r="145" spans="1:9" x14ac:dyDescent="0.25">
      <c r="A145" s="412" t="s">
        <v>257</v>
      </c>
      <c r="B145" s="412" t="s">
        <v>277</v>
      </c>
      <c r="C145" s="412" t="s">
        <v>300</v>
      </c>
      <c r="D145" s="412" t="s">
        <v>309</v>
      </c>
      <c r="E145" s="412" t="s">
        <v>497</v>
      </c>
      <c r="F145" s="412" t="s">
        <v>254</v>
      </c>
      <c r="G145" s="20">
        <v>2.08</v>
      </c>
      <c r="H145" s="20">
        <v>0</v>
      </c>
    </row>
    <row r="146" spans="1:9" x14ac:dyDescent="0.25">
      <c r="A146" s="412" t="s">
        <v>259</v>
      </c>
      <c r="B146" s="412" t="s">
        <v>260</v>
      </c>
      <c r="C146" s="412" t="s">
        <v>300</v>
      </c>
      <c r="D146" s="412" t="s">
        <v>311</v>
      </c>
      <c r="E146" s="412" t="s">
        <v>497</v>
      </c>
      <c r="F146" s="412" t="s">
        <v>254</v>
      </c>
      <c r="G146" s="20">
        <v>0</v>
      </c>
      <c r="H146" s="20">
        <v>6.18</v>
      </c>
    </row>
    <row r="147" spans="1:9" x14ac:dyDescent="0.25">
      <c r="A147" s="412" t="s">
        <v>261</v>
      </c>
      <c r="B147" s="412" t="s">
        <v>262</v>
      </c>
      <c r="C147" s="412" t="s">
        <v>300</v>
      </c>
      <c r="D147" s="412" t="s">
        <v>309</v>
      </c>
      <c r="E147" s="412" t="s">
        <v>498</v>
      </c>
      <c r="F147" s="412" t="s">
        <v>254</v>
      </c>
      <c r="G147" s="20">
        <v>275</v>
      </c>
      <c r="H147" s="20">
        <v>0</v>
      </c>
    </row>
    <row r="148" spans="1:9" x14ac:dyDescent="0.25">
      <c r="A148" s="412" t="s">
        <v>259</v>
      </c>
      <c r="B148" s="412" t="s">
        <v>260</v>
      </c>
      <c r="C148" s="412" t="s">
        <v>300</v>
      </c>
      <c r="D148" s="412" t="s">
        <v>309</v>
      </c>
      <c r="E148" s="412" t="s">
        <v>498</v>
      </c>
      <c r="F148" s="412" t="s">
        <v>254</v>
      </c>
      <c r="G148" s="20">
        <v>0</v>
      </c>
      <c r="H148" s="20">
        <v>275</v>
      </c>
    </row>
    <row r="149" spans="1:9" x14ac:dyDescent="0.25">
      <c r="A149" s="412" t="s">
        <v>301</v>
      </c>
      <c r="B149" s="412" t="s">
        <v>302</v>
      </c>
      <c r="C149" s="412" t="s">
        <v>300</v>
      </c>
      <c r="D149" s="412" t="s">
        <v>309</v>
      </c>
      <c r="E149" s="412" t="s">
        <v>499</v>
      </c>
      <c r="F149" s="412" t="s">
        <v>254</v>
      </c>
      <c r="G149" s="20">
        <v>291.67</v>
      </c>
      <c r="H149" s="20">
        <v>0</v>
      </c>
    </row>
    <row r="150" spans="1:9" ht="13.8" thickBot="1" x14ac:dyDescent="0.3">
      <c r="A150" s="411" t="s">
        <v>259</v>
      </c>
      <c r="B150" s="411" t="s">
        <v>260</v>
      </c>
      <c r="C150" s="411" t="s">
        <v>300</v>
      </c>
      <c r="D150" s="411" t="s">
        <v>309</v>
      </c>
      <c r="E150" s="411" t="s">
        <v>499</v>
      </c>
      <c r="F150" s="411" t="s">
        <v>254</v>
      </c>
      <c r="G150" s="410">
        <v>0</v>
      </c>
      <c r="H150" s="410">
        <v>291.67</v>
      </c>
    </row>
    <row r="153" spans="1:9" x14ac:dyDescent="0.25">
      <c r="A153" s="412" t="s">
        <v>257</v>
      </c>
      <c r="B153" s="412" t="s">
        <v>277</v>
      </c>
      <c r="C153" s="412" t="s">
        <v>300</v>
      </c>
      <c r="D153" s="412" t="s">
        <v>310</v>
      </c>
      <c r="E153" s="412" t="s">
        <v>500</v>
      </c>
      <c r="F153" s="412" t="s">
        <v>254</v>
      </c>
      <c r="G153" s="20">
        <v>0</v>
      </c>
      <c r="H153" s="20">
        <v>10.17</v>
      </c>
    </row>
    <row r="154" spans="1:9" x14ac:dyDescent="0.25">
      <c r="A154" s="412" t="s">
        <v>257</v>
      </c>
      <c r="B154" s="412" t="s">
        <v>277</v>
      </c>
      <c r="C154" s="412" t="s">
        <v>300</v>
      </c>
      <c r="D154" s="412" t="s">
        <v>309</v>
      </c>
      <c r="E154" s="412" t="s">
        <v>500</v>
      </c>
      <c r="F154" s="412" t="s">
        <v>254</v>
      </c>
      <c r="G154" s="20">
        <v>0</v>
      </c>
      <c r="H154" s="20">
        <v>5.08</v>
      </c>
    </row>
    <row r="155" spans="1:9" x14ac:dyDescent="0.25">
      <c r="A155" s="412" t="s">
        <v>259</v>
      </c>
      <c r="B155" s="412" t="s">
        <v>260</v>
      </c>
      <c r="C155" s="412" t="s">
        <v>300</v>
      </c>
      <c r="D155" s="412" t="s">
        <v>309</v>
      </c>
      <c r="E155" s="412" t="s">
        <v>500</v>
      </c>
      <c r="F155" s="412" t="s">
        <v>254</v>
      </c>
      <c r="G155" s="20">
        <v>15.25</v>
      </c>
      <c r="H155" s="20">
        <v>0</v>
      </c>
    </row>
    <row r="156" spans="1:9" x14ac:dyDescent="0.25">
      <c r="A156" s="412" t="s">
        <v>257</v>
      </c>
      <c r="B156" s="412" t="s">
        <v>277</v>
      </c>
      <c r="C156" s="412" t="s">
        <v>300</v>
      </c>
      <c r="D156" s="412" t="s">
        <v>311</v>
      </c>
      <c r="E156" s="412" t="s">
        <v>501</v>
      </c>
      <c r="F156" s="412" t="s">
        <v>254</v>
      </c>
      <c r="G156" s="20">
        <v>0</v>
      </c>
      <c r="H156" s="20">
        <v>10.86</v>
      </c>
      <c r="I156" s="20" t="s">
        <v>131</v>
      </c>
    </row>
    <row r="157" spans="1:9" x14ac:dyDescent="0.25">
      <c r="A157" s="412" t="s">
        <v>257</v>
      </c>
      <c r="B157" s="412" t="s">
        <v>277</v>
      </c>
      <c r="C157" s="412" t="s">
        <v>300</v>
      </c>
      <c r="D157" s="412" t="s">
        <v>309</v>
      </c>
      <c r="E157" s="412" t="s">
        <v>501</v>
      </c>
      <c r="F157" s="412" t="s">
        <v>254</v>
      </c>
      <c r="G157" s="20">
        <v>0</v>
      </c>
      <c r="H157" s="20">
        <v>5.43</v>
      </c>
    </row>
    <row r="158" spans="1:9" x14ac:dyDescent="0.25">
      <c r="A158" s="412" t="s">
        <v>259</v>
      </c>
      <c r="B158" s="412" t="s">
        <v>260</v>
      </c>
      <c r="C158" s="412" t="s">
        <v>300</v>
      </c>
      <c r="D158" s="412" t="s">
        <v>309</v>
      </c>
      <c r="E158" s="412" t="s">
        <v>501</v>
      </c>
      <c r="F158" s="412" t="s">
        <v>254</v>
      </c>
      <c r="G158" s="20">
        <v>16.29</v>
      </c>
      <c r="H158" s="20">
        <v>0</v>
      </c>
    </row>
    <row r="159" spans="1:9" x14ac:dyDescent="0.25">
      <c r="A159" s="412" t="s">
        <v>261</v>
      </c>
      <c r="B159" s="412" t="s">
        <v>262</v>
      </c>
      <c r="C159" s="412" t="s">
        <v>300</v>
      </c>
      <c r="D159" s="412" t="s">
        <v>309</v>
      </c>
      <c r="E159" s="412" t="s">
        <v>502</v>
      </c>
      <c r="F159" s="412" t="s">
        <v>254</v>
      </c>
      <c r="G159" s="20">
        <v>275</v>
      </c>
      <c r="H159" s="20">
        <v>0</v>
      </c>
    </row>
    <row r="160" spans="1:9" x14ac:dyDescent="0.25">
      <c r="A160" s="412" t="s">
        <v>259</v>
      </c>
      <c r="B160" s="412" t="s">
        <v>260</v>
      </c>
      <c r="C160" s="412" t="s">
        <v>300</v>
      </c>
      <c r="D160" s="412" t="s">
        <v>309</v>
      </c>
      <c r="E160" s="412" t="s">
        <v>502</v>
      </c>
      <c r="F160" s="412" t="s">
        <v>254</v>
      </c>
      <c r="G160" s="20">
        <v>0</v>
      </c>
      <c r="H160" s="20">
        <v>275</v>
      </c>
    </row>
    <row r="161" spans="1:8" x14ac:dyDescent="0.25">
      <c r="A161" s="412" t="s">
        <v>301</v>
      </c>
      <c r="B161" s="412" t="s">
        <v>302</v>
      </c>
      <c r="C161" s="412" t="s">
        <v>300</v>
      </c>
      <c r="D161" s="412" t="s">
        <v>309</v>
      </c>
      <c r="E161" s="412" t="s">
        <v>503</v>
      </c>
      <c r="F161" s="412" t="s">
        <v>254</v>
      </c>
      <c r="G161" s="20">
        <v>291.67</v>
      </c>
      <c r="H161" s="20">
        <v>0</v>
      </c>
    </row>
    <row r="162" spans="1:8" x14ac:dyDescent="0.25">
      <c r="A162" s="412" t="s">
        <v>259</v>
      </c>
      <c r="B162" s="412" t="s">
        <v>260</v>
      </c>
      <c r="C162" s="412" t="s">
        <v>300</v>
      </c>
      <c r="D162" s="412" t="s">
        <v>309</v>
      </c>
      <c r="E162" s="412" t="s">
        <v>503</v>
      </c>
      <c r="F162" s="412" t="s">
        <v>254</v>
      </c>
      <c r="G162" s="20">
        <v>0</v>
      </c>
      <c r="H162" s="20">
        <v>291.67</v>
      </c>
    </row>
    <row r="163" spans="1:8" x14ac:dyDescent="0.25">
      <c r="A163" s="412" t="s">
        <v>257</v>
      </c>
      <c r="B163" s="412" t="s">
        <v>277</v>
      </c>
      <c r="C163" s="412" t="s">
        <v>300</v>
      </c>
      <c r="D163" s="412" t="s">
        <v>310</v>
      </c>
      <c r="E163" s="412" t="s">
        <v>504</v>
      </c>
      <c r="F163" s="412" t="s">
        <v>254</v>
      </c>
      <c r="G163" s="20">
        <v>0</v>
      </c>
      <c r="H163" s="20">
        <v>78.97</v>
      </c>
    </row>
    <row r="164" spans="1:8" x14ac:dyDescent="0.25">
      <c r="A164" s="412" t="s">
        <v>257</v>
      </c>
      <c r="B164" s="412" t="s">
        <v>277</v>
      </c>
      <c r="C164" s="412" t="s">
        <v>300</v>
      </c>
      <c r="D164" s="412" t="s">
        <v>309</v>
      </c>
      <c r="E164" s="412" t="s">
        <v>504</v>
      </c>
      <c r="F164" s="412" t="s">
        <v>254</v>
      </c>
      <c r="G164" s="20">
        <v>78.97</v>
      </c>
      <c r="H164" s="20">
        <v>0</v>
      </c>
    </row>
    <row r="165" spans="1:8" x14ac:dyDescent="0.25">
      <c r="A165" s="412" t="s">
        <v>257</v>
      </c>
      <c r="B165" s="412" t="s">
        <v>277</v>
      </c>
      <c r="C165" s="412" t="s">
        <v>300</v>
      </c>
      <c r="D165" s="412" t="s">
        <v>311</v>
      </c>
      <c r="E165" s="412" t="s">
        <v>504</v>
      </c>
      <c r="F165" s="412" t="s">
        <v>254</v>
      </c>
      <c r="G165" s="20">
        <v>0</v>
      </c>
      <c r="H165" s="20">
        <v>84.35</v>
      </c>
    </row>
    <row r="166" spans="1:8" ht="13.8" thickBot="1" x14ac:dyDescent="0.3">
      <c r="A166" s="411" t="s">
        <v>257</v>
      </c>
      <c r="B166" s="411" t="s">
        <v>277</v>
      </c>
      <c r="C166" s="411" t="s">
        <v>300</v>
      </c>
      <c r="D166" s="411" t="s">
        <v>309</v>
      </c>
      <c r="E166" s="411" t="s">
        <v>504</v>
      </c>
      <c r="F166" s="411" t="s">
        <v>254</v>
      </c>
      <c r="G166" s="410">
        <v>84.35</v>
      </c>
      <c r="H166" s="410">
        <v>0</v>
      </c>
    </row>
    <row r="168" spans="1:8" x14ac:dyDescent="0.25">
      <c r="A168" s="412" t="s">
        <v>257</v>
      </c>
      <c r="B168" s="412" t="s">
        <v>277</v>
      </c>
      <c r="C168" s="412" t="s">
        <v>300</v>
      </c>
      <c r="D168" s="412" t="s">
        <v>310</v>
      </c>
      <c r="E168" s="412" t="s">
        <v>500</v>
      </c>
      <c r="F168" s="412" t="s">
        <v>254</v>
      </c>
      <c r="G168" s="20">
        <v>1.51</v>
      </c>
      <c r="H168" s="20">
        <v>0</v>
      </c>
    </row>
    <row r="169" spans="1:8" x14ac:dyDescent="0.25">
      <c r="A169" s="412" t="s">
        <v>257</v>
      </c>
      <c r="B169" s="412" t="s">
        <v>277</v>
      </c>
      <c r="C169" s="412" t="s">
        <v>300</v>
      </c>
      <c r="D169" s="412" t="s">
        <v>309</v>
      </c>
      <c r="E169" s="412" t="s">
        <v>500</v>
      </c>
      <c r="F169" s="412" t="s">
        <v>254</v>
      </c>
      <c r="G169" s="20">
        <v>0.75</v>
      </c>
      <c r="H169" s="20">
        <v>0</v>
      </c>
    </row>
    <row r="170" spans="1:8" x14ac:dyDescent="0.25">
      <c r="A170" s="412" t="s">
        <v>259</v>
      </c>
      <c r="B170" s="412" t="s">
        <v>260</v>
      </c>
      <c r="C170" s="412" t="s">
        <v>300</v>
      </c>
      <c r="D170" s="412" t="s">
        <v>309</v>
      </c>
      <c r="E170" s="412" t="s">
        <v>500</v>
      </c>
      <c r="F170" s="412" t="s">
        <v>254</v>
      </c>
      <c r="G170" s="20">
        <v>0</v>
      </c>
      <c r="H170" s="20">
        <v>2.2599999999999998</v>
      </c>
    </row>
    <row r="171" spans="1:8" x14ac:dyDescent="0.25">
      <c r="A171" s="412" t="s">
        <v>257</v>
      </c>
      <c r="B171" s="412" t="s">
        <v>277</v>
      </c>
      <c r="C171" s="412" t="s">
        <v>300</v>
      </c>
      <c r="D171" s="412" t="s">
        <v>311</v>
      </c>
      <c r="E171" s="412" t="s">
        <v>501</v>
      </c>
      <c r="F171" s="412" t="s">
        <v>254</v>
      </c>
      <c r="G171" s="20">
        <v>41.05</v>
      </c>
      <c r="H171" s="20">
        <v>0</v>
      </c>
    </row>
    <row r="172" spans="1:8" x14ac:dyDescent="0.25">
      <c r="A172" s="412" t="s">
        <v>257</v>
      </c>
      <c r="B172" s="412" t="s">
        <v>277</v>
      </c>
      <c r="C172" s="412" t="s">
        <v>300</v>
      </c>
      <c r="D172" s="412" t="s">
        <v>309</v>
      </c>
      <c r="E172" s="412" t="s">
        <v>501</v>
      </c>
      <c r="F172" s="412" t="s">
        <v>254</v>
      </c>
      <c r="G172" s="20">
        <v>20.53</v>
      </c>
      <c r="H172" s="20">
        <v>0</v>
      </c>
    </row>
    <row r="173" spans="1:8" x14ac:dyDescent="0.25">
      <c r="A173" s="412" t="s">
        <v>259</v>
      </c>
      <c r="B173" s="412" t="s">
        <v>260</v>
      </c>
      <c r="C173" s="412" t="s">
        <v>300</v>
      </c>
      <c r="D173" s="412" t="s">
        <v>309</v>
      </c>
      <c r="E173" s="412" t="s">
        <v>501</v>
      </c>
      <c r="F173" s="412" t="s">
        <v>254</v>
      </c>
      <c r="G173" s="20">
        <v>0</v>
      </c>
      <c r="H173" s="20">
        <v>61.58</v>
      </c>
    </row>
    <row r="174" spans="1:8" x14ac:dyDescent="0.25">
      <c r="A174" s="412" t="s">
        <v>257</v>
      </c>
      <c r="B174" s="412" t="s">
        <v>277</v>
      </c>
      <c r="C174" s="412" t="s">
        <v>300</v>
      </c>
      <c r="D174" s="412" t="s">
        <v>309</v>
      </c>
      <c r="E174" s="412" t="s">
        <v>505</v>
      </c>
      <c r="F174" s="412" t="s">
        <v>254</v>
      </c>
      <c r="G174" s="20">
        <v>3.14</v>
      </c>
      <c r="H174" s="20">
        <v>0</v>
      </c>
    </row>
    <row r="175" spans="1:8" x14ac:dyDescent="0.25">
      <c r="A175" s="412" t="s">
        <v>257</v>
      </c>
      <c r="B175" s="412" t="s">
        <v>277</v>
      </c>
      <c r="C175" s="412" t="s">
        <v>300</v>
      </c>
      <c r="D175" s="412" t="s">
        <v>310</v>
      </c>
      <c r="E175" s="412" t="s">
        <v>505</v>
      </c>
      <c r="F175" s="412" t="s">
        <v>254</v>
      </c>
      <c r="G175" s="20">
        <v>0</v>
      </c>
      <c r="H175" s="20">
        <v>3.14</v>
      </c>
    </row>
    <row r="176" spans="1:8" x14ac:dyDescent="0.25">
      <c r="A176" s="412" t="s">
        <v>257</v>
      </c>
      <c r="B176" s="412" t="s">
        <v>277</v>
      </c>
      <c r="C176" s="412" t="s">
        <v>300</v>
      </c>
      <c r="D176" s="412" t="s">
        <v>309</v>
      </c>
      <c r="E176" s="412" t="s">
        <v>505</v>
      </c>
      <c r="F176" s="412" t="s">
        <v>254</v>
      </c>
      <c r="G176" s="20">
        <v>23.68</v>
      </c>
      <c r="H176" s="20">
        <v>0</v>
      </c>
    </row>
    <row r="177" spans="1:8" ht="13.8" thickBot="1" x14ac:dyDescent="0.3">
      <c r="A177" s="411" t="s">
        <v>257</v>
      </c>
      <c r="B177" s="411" t="s">
        <v>277</v>
      </c>
      <c r="C177" s="411" t="s">
        <v>300</v>
      </c>
      <c r="D177" s="411" t="s">
        <v>311</v>
      </c>
      <c r="E177" s="411" t="s">
        <v>505</v>
      </c>
      <c r="F177" s="411" t="s">
        <v>254</v>
      </c>
      <c r="G177" s="410">
        <v>0</v>
      </c>
      <c r="H177" s="410">
        <v>23.68</v>
      </c>
    </row>
    <row r="179" spans="1:8" x14ac:dyDescent="0.25">
      <c r="A179" s="412" t="s">
        <v>259</v>
      </c>
      <c r="B179" s="412" t="s">
        <v>260</v>
      </c>
      <c r="C179" s="412" t="s">
        <v>300</v>
      </c>
      <c r="D179" s="412" t="s">
        <v>309</v>
      </c>
      <c r="E179" s="412" t="s">
        <v>506</v>
      </c>
      <c r="F179" s="412" t="s">
        <v>254</v>
      </c>
      <c r="G179" s="20">
        <v>0</v>
      </c>
      <c r="H179" s="20">
        <v>5.9</v>
      </c>
    </row>
    <row r="180" spans="1:8" x14ac:dyDescent="0.25">
      <c r="A180" s="412" t="s">
        <v>257</v>
      </c>
      <c r="B180" s="412" t="s">
        <v>277</v>
      </c>
      <c r="C180" s="412" t="s">
        <v>300</v>
      </c>
      <c r="D180" s="412" t="s">
        <v>309</v>
      </c>
      <c r="E180" s="412" t="s">
        <v>506</v>
      </c>
      <c r="F180" s="412" t="s">
        <v>254</v>
      </c>
      <c r="G180" s="20">
        <v>1.97</v>
      </c>
      <c r="H180" s="20">
        <v>0</v>
      </c>
    </row>
    <row r="181" spans="1:8" ht="13.8" thickBot="1" x14ac:dyDescent="0.3">
      <c r="A181" s="411" t="s">
        <v>257</v>
      </c>
      <c r="B181" s="411" t="s">
        <v>277</v>
      </c>
      <c r="C181" s="411" t="s">
        <v>300</v>
      </c>
      <c r="D181" s="411" t="s">
        <v>310</v>
      </c>
      <c r="E181" s="411" t="s">
        <v>506</v>
      </c>
      <c r="F181" s="411" t="s">
        <v>254</v>
      </c>
      <c r="G181" s="410">
        <v>3.93</v>
      </c>
      <c r="H181" s="410">
        <v>0</v>
      </c>
    </row>
    <row r="184" spans="1:8" x14ac:dyDescent="0.25">
      <c r="A184" s="412" t="s">
        <v>255</v>
      </c>
      <c r="B184" s="412" t="s">
        <v>256</v>
      </c>
      <c r="C184" s="412" t="s">
        <v>300</v>
      </c>
      <c r="D184" s="412" t="s">
        <v>309</v>
      </c>
      <c r="E184" s="412" t="s">
        <v>517</v>
      </c>
      <c r="F184" s="412" t="s">
        <v>254</v>
      </c>
      <c r="G184" s="20">
        <v>0</v>
      </c>
      <c r="H184" s="20">
        <v>156.99</v>
      </c>
    </row>
    <row r="185" spans="1:8" x14ac:dyDescent="0.25">
      <c r="A185" s="412" t="s">
        <v>438</v>
      </c>
      <c r="B185" s="412" t="s">
        <v>439</v>
      </c>
      <c r="C185" s="412" t="s">
        <v>300</v>
      </c>
      <c r="D185" s="412" t="s">
        <v>309</v>
      </c>
      <c r="E185" s="412" t="s">
        <v>517</v>
      </c>
      <c r="F185" s="412" t="s">
        <v>254</v>
      </c>
      <c r="G185" s="20">
        <v>156.99</v>
      </c>
      <c r="H185" s="20">
        <v>0</v>
      </c>
    </row>
    <row r="186" spans="1:8" x14ac:dyDescent="0.25">
      <c r="A186" s="412" t="s">
        <v>255</v>
      </c>
      <c r="B186" s="412" t="s">
        <v>256</v>
      </c>
      <c r="C186" s="412" t="s">
        <v>300</v>
      </c>
      <c r="D186" s="412" t="s">
        <v>309</v>
      </c>
      <c r="E186" s="412" t="s">
        <v>516</v>
      </c>
      <c r="F186" s="412" t="s">
        <v>254</v>
      </c>
      <c r="G186" s="20">
        <v>0</v>
      </c>
      <c r="H186" s="20">
        <v>34.47</v>
      </c>
    </row>
    <row r="187" spans="1:8" ht="13.8" thickBot="1" x14ac:dyDescent="0.3">
      <c r="A187" s="411" t="s">
        <v>263</v>
      </c>
      <c r="B187" s="411" t="s">
        <v>264</v>
      </c>
      <c r="C187" s="411" t="s">
        <v>300</v>
      </c>
      <c r="D187" s="411" t="s">
        <v>309</v>
      </c>
      <c r="E187" s="411" t="s">
        <v>516</v>
      </c>
      <c r="F187" s="411" t="s">
        <v>254</v>
      </c>
      <c r="G187" s="410">
        <v>34.47</v>
      </c>
      <c r="H187" s="410">
        <v>0</v>
      </c>
    </row>
    <row r="189" spans="1:8" x14ac:dyDescent="0.25">
      <c r="A189" s="412" t="s">
        <v>438</v>
      </c>
      <c r="B189" s="412" t="s">
        <v>439</v>
      </c>
      <c r="C189" s="412" t="s">
        <v>300</v>
      </c>
      <c r="D189" s="412" t="s">
        <v>309</v>
      </c>
      <c r="E189" s="412" t="s">
        <v>515</v>
      </c>
      <c r="F189" s="412" t="s">
        <v>254</v>
      </c>
      <c r="G189" s="20">
        <v>156.99</v>
      </c>
      <c r="H189" s="20">
        <v>0</v>
      </c>
    </row>
    <row r="190" spans="1:8" x14ac:dyDescent="0.25">
      <c r="A190" s="412" t="s">
        <v>255</v>
      </c>
      <c r="B190" s="412" t="s">
        <v>256</v>
      </c>
      <c r="C190" s="412" t="s">
        <v>300</v>
      </c>
      <c r="D190" s="412" t="s">
        <v>309</v>
      </c>
      <c r="E190" s="412" t="s">
        <v>515</v>
      </c>
      <c r="F190" s="412" t="s">
        <v>254</v>
      </c>
      <c r="G190" s="20">
        <v>0</v>
      </c>
      <c r="H190" s="20">
        <v>156.99</v>
      </c>
    </row>
    <row r="191" spans="1:8" x14ac:dyDescent="0.25">
      <c r="A191" s="412" t="s">
        <v>263</v>
      </c>
      <c r="B191" s="412" t="s">
        <v>264</v>
      </c>
      <c r="C191" s="412" t="s">
        <v>300</v>
      </c>
      <c r="D191" s="412" t="s">
        <v>309</v>
      </c>
      <c r="E191" s="412" t="s">
        <v>514</v>
      </c>
      <c r="F191" s="412" t="s">
        <v>254</v>
      </c>
      <c r="G191" s="20">
        <v>34.47</v>
      </c>
      <c r="H191" s="20">
        <v>0</v>
      </c>
    </row>
    <row r="192" spans="1:8" ht="13.8" thickBot="1" x14ac:dyDescent="0.3">
      <c r="A192" s="411" t="s">
        <v>255</v>
      </c>
      <c r="B192" s="411" t="s">
        <v>256</v>
      </c>
      <c r="C192" s="411" t="s">
        <v>300</v>
      </c>
      <c r="D192" s="411" t="s">
        <v>309</v>
      </c>
      <c r="E192" s="411" t="s">
        <v>514</v>
      </c>
      <c r="F192" s="411" t="s">
        <v>254</v>
      </c>
      <c r="G192" s="410">
        <v>0</v>
      </c>
      <c r="H192" s="410">
        <v>34.47</v>
      </c>
    </row>
    <row r="194" spans="1:8" x14ac:dyDescent="0.25">
      <c r="A194" s="412" t="s">
        <v>257</v>
      </c>
      <c r="B194" s="412" t="s">
        <v>277</v>
      </c>
      <c r="C194" s="412" t="s">
        <v>300</v>
      </c>
      <c r="D194" s="412" t="s">
        <v>310</v>
      </c>
      <c r="E194" s="412" t="s">
        <v>513</v>
      </c>
      <c r="F194" s="412" t="s">
        <v>254</v>
      </c>
      <c r="G194" s="20">
        <v>0</v>
      </c>
      <c r="H194" s="20">
        <v>5.08</v>
      </c>
    </row>
    <row r="195" spans="1:8" x14ac:dyDescent="0.25">
      <c r="A195" s="412" t="s">
        <v>257</v>
      </c>
      <c r="B195" s="412" t="s">
        <v>277</v>
      </c>
      <c r="C195" s="412" t="s">
        <v>300</v>
      </c>
      <c r="D195" s="412" t="s">
        <v>309</v>
      </c>
      <c r="E195" s="412" t="s">
        <v>513</v>
      </c>
      <c r="F195" s="412" t="s">
        <v>254</v>
      </c>
      <c r="G195" s="20">
        <v>0</v>
      </c>
      <c r="H195" s="20">
        <v>2.54</v>
      </c>
    </row>
    <row r="196" spans="1:8" x14ac:dyDescent="0.25">
      <c r="A196" s="412" t="s">
        <v>259</v>
      </c>
      <c r="B196" s="412" t="s">
        <v>260</v>
      </c>
      <c r="C196" s="412" t="s">
        <v>300</v>
      </c>
      <c r="D196" s="412" t="s">
        <v>309</v>
      </c>
      <c r="E196" s="412" t="s">
        <v>512</v>
      </c>
      <c r="F196" s="412" t="s">
        <v>254</v>
      </c>
      <c r="G196" s="20">
        <v>7.62</v>
      </c>
      <c r="H196" s="20">
        <v>0</v>
      </c>
    </row>
    <row r="197" spans="1:8" x14ac:dyDescent="0.25">
      <c r="A197" s="412" t="s">
        <v>257</v>
      </c>
      <c r="B197" s="412" t="s">
        <v>277</v>
      </c>
      <c r="C197" s="412" t="s">
        <v>300</v>
      </c>
      <c r="D197" s="412" t="s">
        <v>311</v>
      </c>
      <c r="E197" s="412" t="s">
        <v>511</v>
      </c>
      <c r="F197" s="412" t="s">
        <v>254</v>
      </c>
      <c r="G197" s="20">
        <v>31.01</v>
      </c>
      <c r="H197" s="20">
        <v>0</v>
      </c>
    </row>
    <row r="198" spans="1:8" x14ac:dyDescent="0.25">
      <c r="A198" s="412" t="s">
        <v>257</v>
      </c>
      <c r="B198" s="412" t="s">
        <v>277</v>
      </c>
      <c r="C198" s="412" t="s">
        <v>300</v>
      </c>
      <c r="D198" s="412" t="s">
        <v>309</v>
      </c>
      <c r="E198" s="412" t="s">
        <v>510</v>
      </c>
      <c r="F198" s="412" t="s">
        <v>254</v>
      </c>
      <c r="G198" s="20">
        <v>15.51</v>
      </c>
      <c r="H198" s="20">
        <v>0</v>
      </c>
    </row>
    <row r="199" spans="1:8" x14ac:dyDescent="0.25">
      <c r="A199" s="412" t="s">
        <v>259</v>
      </c>
      <c r="B199" s="412" t="s">
        <v>260</v>
      </c>
      <c r="C199" s="412" t="s">
        <v>300</v>
      </c>
      <c r="D199" s="412" t="s">
        <v>309</v>
      </c>
      <c r="E199" s="412" t="s">
        <v>510</v>
      </c>
      <c r="F199" s="412" t="s">
        <v>254</v>
      </c>
      <c r="G199" s="20">
        <v>0</v>
      </c>
      <c r="H199" s="20">
        <v>46.52</v>
      </c>
    </row>
    <row r="200" spans="1:8" x14ac:dyDescent="0.25">
      <c r="A200" s="412" t="s">
        <v>261</v>
      </c>
      <c r="B200" s="412" t="s">
        <v>262</v>
      </c>
      <c r="C200" s="412" t="s">
        <v>300</v>
      </c>
      <c r="D200" s="412" t="s">
        <v>309</v>
      </c>
      <c r="E200" s="412" t="s">
        <v>509</v>
      </c>
      <c r="F200" s="412" t="s">
        <v>254</v>
      </c>
      <c r="G200" s="20">
        <v>275</v>
      </c>
      <c r="H200" s="20">
        <v>0</v>
      </c>
    </row>
    <row r="201" spans="1:8" x14ac:dyDescent="0.25">
      <c r="A201" s="412" t="s">
        <v>259</v>
      </c>
      <c r="B201" s="412" t="s">
        <v>260</v>
      </c>
      <c r="C201" s="412" t="s">
        <v>300</v>
      </c>
      <c r="D201" s="412" t="s">
        <v>309</v>
      </c>
      <c r="E201" s="412" t="s">
        <v>509</v>
      </c>
      <c r="F201" s="412" t="s">
        <v>254</v>
      </c>
      <c r="G201" s="20">
        <v>0</v>
      </c>
      <c r="H201" s="20">
        <v>275</v>
      </c>
    </row>
    <row r="202" spans="1:8" x14ac:dyDescent="0.25">
      <c r="A202" s="412" t="s">
        <v>301</v>
      </c>
      <c r="B202" s="412" t="s">
        <v>302</v>
      </c>
      <c r="C202" s="412" t="s">
        <v>300</v>
      </c>
      <c r="D202" s="412" t="s">
        <v>309</v>
      </c>
      <c r="E202" s="412" t="s">
        <v>508</v>
      </c>
      <c r="F202" s="412" t="s">
        <v>254</v>
      </c>
      <c r="G202" s="20">
        <v>291.67</v>
      </c>
      <c r="H202" s="20">
        <v>0</v>
      </c>
    </row>
    <row r="203" spans="1:8" x14ac:dyDescent="0.25">
      <c r="A203" s="412" t="s">
        <v>259</v>
      </c>
      <c r="B203" s="412" t="s">
        <v>260</v>
      </c>
      <c r="C203" s="412" t="s">
        <v>300</v>
      </c>
      <c r="D203" s="412" t="s">
        <v>309</v>
      </c>
      <c r="E203" s="412" t="s">
        <v>508</v>
      </c>
      <c r="F203" s="412" t="s">
        <v>254</v>
      </c>
      <c r="G203" s="20">
        <v>0</v>
      </c>
      <c r="H203" s="20">
        <v>291.67</v>
      </c>
    </row>
    <row r="204" spans="1:8" x14ac:dyDescent="0.25">
      <c r="A204" s="412" t="s">
        <v>257</v>
      </c>
      <c r="B204" s="412" t="s">
        <v>277</v>
      </c>
      <c r="C204" s="412" t="s">
        <v>300</v>
      </c>
      <c r="D204" s="412" t="s">
        <v>310</v>
      </c>
      <c r="E204" s="412" t="s">
        <v>507</v>
      </c>
      <c r="F204" s="412" t="s">
        <v>254</v>
      </c>
      <c r="G204" s="20">
        <v>0</v>
      </c>
      <c r="H204" s="20">
        <v>83.87</v>
      </c>
    </row>
    <row r="205" spans="1:8" x14ac:dyDescent="0.25">
      <c r="A205" s="412" t="s">
        <v>257</v>
      </c>
      <c r="B205" s="412" t="s">
        <v>277</v>
      </c>
      <c r="C205" s="412" t="s">
        <v>300</v>
      </c>
      <c r="D205" s="412" t="s">
        <v>309</v>
      </c>
      <c r="E205" s="412" t="s">
        <v>507</v>
      </c>
      <c r="F205" s="412" t="s">
        <v>254</v>
      </c>
      <c r="G205" s="20">
        <v>83.87</v>
      </c>
      <c r="H205" s="20">
        <v>0</v>
      </c>
    </row>
    <row r="206" spans="1:8" x14ac:dyDescent="0.25">
      <c r="A206" s="412" t="s">
        <v>257</v>
      </c>
      <c r="B206" s="412" t="s">
        <v>277</v>
      </c>
      <c r="C206" s="412" t="s">
        <v>300</v>
      </c>
      <c r="D206" s="412" t="s">
        <v>311</v>
      </c>
      <c r="E206" s="412" t="s">
        <v>507</v>
      </c>
      <c r="F206" s="412" t="s">
        <v>254</v>
      </c>
      <c r="G206" s="20">
        <v>0</v>
      </c>
      <c r="H206" s="20">
        <v>133.38</v>
      </c>
    </row>
    <row r="207" spans="1:8" ht="13.8" thickBot="1" x14ac:dyDescent="0.3">
      <c r="A207" s="411" t="s">
        <v>257</v>
      </c>
      <c r="B207" s="411" t="s">
        <v>277</v>
      </c>
      <c r="C207" s="411" t="s">
        <v>300</v>
      </c>
      <c r="D207" s="411" t="s">
        <v>309</v>
      </c>
      <c r="E207" s="411" t="s">
        <v>507</v>
      </c>
      <c r="F207" s="411" t="s">
        <v>254</v>
      </c>
      <c r="G207" s="410">
        <v>133.38</v>
      </c>
      <c r="H207" s="410">
        <v>0</v>
      </c>
    </row>
    <row r="209" spans="1:8" x14ac:dyDescent="0.25">
      <c r="A209" s="412" t="s">
        <v>261</v>
      </c>
      <c r="B209" s="412" t="s">
        <v>262</v>
      </c>
      <c r="C209" s="412" t="s">
        <v>300</v>
      </c>
      <c r="D209" s="412" t="s">
        <v>309</v>
      </c>
      <c r="E209" s="412" t="s">
        <v>527</v>
      </c>
      <c r="F209" s="412" t="s">
        <v>254</v>
      </c>
      <c r="G209" s="20">
        <v>275</v>
      </c>
      <c r="H209" s="20">
        <v>0</v>
      </c>
    </row>
    <row r="210" spans="1:8" x14ac:dyDescent="0.25">
      <c r="A210" s="412" t="s">
        <v>259</v>
      </c>
      <c r="B210" s="412" t="s">
        <v>260</v>
      </c>
      <c r="C210" s="412" t="s">
        <v>300</v>
      </c>
      <c r="D210" s="412" t="s">
        <v>309</v>
      </c>
      <c r="E210" s="412" t="s">
        <v>526</v>
      </c>
      <c r="F210" s="412" t="s">
        <v>254</v>
      </c>
      <c r="G210" s="20">
        <v>550</v>
      </c>
      <c r="H210" s="20">
        <v>0</v>
      </c>
    </row>
    <row r="211" spans="1:8" ht="13.8" thickBot="1" x14ac:dyDescent="0.3">
      <c r="A211" s="411" t="s">
        <v>525</v>
      </c>
      <c r="B211" s="411" t="s">
        <v>524</v>
      </c>
      <c r="C211" s="411" t="s">
        <v>300</v>
      </c>
      <c r="D211" s="411" t="s">
        <v>309</v>
      </c>
      <c r="E211" s="411" t="s">
        <v>523</v>
      </c>
      <c r="F211" s="411" t="s">
        <v>254</v>
      </c>
      <c r="G211" s="410">
        <v>0</v>
      </c>
      <c r="H211" s="410">
        <v>825</v>
      </c>
    </row>
    <row r="213" spans="1:8" x14ac:dyDescent="0.25">
      <c r="A213" s="412" t="s">
        <v>257</v>
      </c>
      <c r="B213" s="412" t="s">
        <v>277</v>
      </c>
      <c r="C213" s="412" t="s">
        <v>300</v>
      </c>
      <c r="D213" s="412" t="s">
        <v>310</v>
      </c>
      <c r="E213" s="412" t="s">
        <v>522</v>
      </c>
      <c r="F213" s="412" t="s">
        <v>254</v>
      </c>
      <c r="G213" s="20">
        <v>12.83</v>
      </c>
      <c r="H213" s="20">
        <v>0</v>
      </c>
    </row>
    <row r="214" spans="1:8" x14ac:dyDescent="0.25">
      <c r="A214" s="412" t="s">
        <v>257</v>
      </c>
      <c r="B214" s="412" t="s">
        <v>277</v>
      </c>
      <c r="C214" s="412" t="s">
        <v>300</v>
      </c>
      <c r="D214" s="412" t="s">
        <v>309</v>
      </c>
      <c r="E214" s="412" t="s">
        <v>522</v>
      </c>
      <c r="F214" s="412" t="s">
        <v>254</v>
      </c>
      <c r="G214" s="20">
        <v>6.42</v>
      </c>
      <c r="H214" s="20">
        <v>0</v>
      </c>
    </row>
    <row r="215" spans="1:8" x14ac:dyDescent="0.25">
      <c r="A215" s="412" t="s">
        <v>259</v>
      </c>
      <c r="B215" s="412" t="s">
        <v>260</v>
      </c>
      <c r="C215" s="412" t="s">
        <v>300</v>
      </c>
      <c r="D215" s="412" t="s">
        <v>309</v>
      </c>
      <c r="E215" s="412" t="s">
        <v>522</v>
      </c>
      <c r="F215" s="412" t="s">
        <v>254</v>
      </c>
      <c r="G215" s="20">
        <v>0</v>
      </c>
      <c r="H215" s="20">
        <v>19.25</v>
      </c>
    </row>
    <row r="216" spans="1:8" x14ac:dyDescent="0.25">
      <c r="A216" s="412" t="s">
        <v>257</v>
      </c>
      <c r="B216" s="412" t="s">
        <v>277</v>
      </c>
      <c r="C216" s="412" t="s">
        <v>300</v>
      </c>
      <c r="D216" s="412" t="s">
        <v>311</v>
      </c>
      <c r="E216" s="412" t="s">
        <v>522</v>
      </c>
      <c r="F216" s="412" t="s">
        <v>254</v>
      </c>
      <c r="G216" s="20">
        <v>32.89</v>
      </c>
      <c r="H216" s="20">
        <v>0</v>
      </c>
    </row>
    <row r="217" spans="1:8" x14ac:dyDescent="0.25">
      <c r="A217" s="412" t="s">
        <v>257</v>
      </c>
      <c r="B217" s="412" t="s">
        <v>277</v>
      </c>
      <c r="C217" s="412" t="s">
        <v>300</v>
      </c>
      <c r="D217" s="412" t="s">
        <v>309</v>
      </c>
      <c r="E217" s="412" t="s">
        <v>522</v>
      </c>
      <c r="F217" s="412" t="s">
        <v>254</v>
      </c>
      <c r="G217" s="20">
        <v>16.45</v>
      </c>
      <c r="H217" s="20">
        <v>0</v>
      </c>
    </row>
    <row r="218" spans="1:8" x14ac:dyDescent="0.25">
      <c r="A218" s="412" t="s">
        <v>259</v>
      </c>
      <c r="B218" s="412" t="s">
        <v>260</v>
      </c>
      <c r="C218" s="412" t="s">
        <v>300</v>
      </c>
      <c r="D218" s="412" t="s">
        <v>309</v>
      </c>
      <c r="E218" s="412" t="s">
        <v>522</v>
      </c>
      <c r="F218" s="412" t="s">
        <v>254</v>
      </c>
      <c r="G218" s="20">
        <v>0</v>
      </c>
      <c r="H218" s="20">
        <v>49.34</v>
      </c>
    </row>
    <row r="219" spans="1:8" x14ac:dyDescent="0.25">
      <c r="A219" s="412" t="s">
        <v>301</v>
      </c>
      <c r="B219" s="412" t="s">
        <v>302</v>
      </c>
      <c r="C219" s="412" t="s">
        <v>300</v>
      </c>
      <c r="D219" s="412" t="s">
        <v>309</v>
      </c>
      <c r="E219" s="412" t="s">
        <v>521</v>
      </c>
      <c r="F219" s="412" t="s">
        <v>254</v>
      </c>
      <c r="G219" s="20">
        <v>291.67</v>
      </c>
      <c r="H219" s="20">
        <v>0</v>
      </c>
    </row>
    <row r="220" spans="1:8" x14ac:dyDescent="0.25">
      <c r="A220" s="412" t="s">
        <v>259</v>
      </c>
      <c r="B220" s="412" t="s">
        <v>260</v>
      </c>
      <c r="C220" s="412" t="s">
        <v>300</v>
      </c>
      <c r="D220" s="412" t="s">
        <v>309</v>
      </c>
      <c r="E220" s="412" t="s">
        <v>521</v>
      </c>
      <c r="F220" s="412" t="s">
        <v>254</v>
      </c>
      <c r="G220" s="20">
        <v>0</v>
      </c>
      <c r="H220" s="20">
        <v>291.67</v>
      </c>
    </row>
    <row r="221" spans="1:8" x14ac:dyDescent="0.25">
      <c r="A221" s="412" t="s">
        <v>257</v>
      </c>
      <c r="B221" s="412" t="s">
        <v>277</v>
      </c>
      <c r="C221" s="412" t="s">
        <v>300</v>
      </c>
      <c r="D221" s="412" t="s">
        <v>310</v>
      </c>
      <c r="E221" s="412" t="s">
        <v>520</v>
      </c>
      <c r="F221" s="412" t="s">
        <v>254</v>
      </c>
      <c r="G221" s="20">
        <v>0</v>
      </c>
      <c r="H221" s="20">
        <v>83.38</v>
      </c>
    </row>
    <row r="222" spans="1:8" x14ac:dyDescent="0.25">
      <c r="A222" s="412" t="s">
        <v>257</v>
      </c>
      <c r="B222" s="412" t="s">
        <v>277</v>
      </c>
      <c r="C222" s="412" t="s">
        <v>300</v>
      </c>
      <c r="D222" s="412" t="s">
        <v>309</v>
      </c>
      <c r="E222" s="412" t="s">
        <v>520</v>
      </c>
      <c r="F222" s="412" t="s">
        <v>254</v>
      </c>
      <c r="G222" s="20">
        <v>83.38</v>
      </c>
      <c r="H222" s="20">
        <v>0</v>
      </c>
    </row>
    <row r="223" spans="1:8" x14ac:dyDescent="0.25">
      <c r="A223" s="412" t="s">
        <v>257</v>
      </c>
      <c r="B223" s="412" t="s">
        <v>277</v>
      </c>
      <c r="C223" s="412" t="s">
        <v>300</v>
      </c>
      <c r="D223" s="412" t="s">
        <v>311</v>
      </c>
      <c r="E223" s="412" t="s">
        <v>520</v>
      </c>
      <c r="F223" s="412" t="s">
        <v>254</v>
      </c>
      <c r="G223" s="20">
        <v>0</v>
      </c>
      <c r="H223" s="20">
        <v>139.53</v>
      </c>
    </row>
    <row r="224" spans="1:8" ht="13.8" thickBot="1" x14ac:dyDescent="0.3">
      <c r="A224" s="411" t="s">
        <v>257</v>
      </c>
      <c r="B224" s="411" t="s">
        <v>277</v>
      </c>
      <c r="C224" s="411" t="s">
        <v>300</v>
      </c>
      <c r="D224" s="411" t="s">
        <v>309</v>
      </c>
      <c r="E224" s="411" t="s">
        <v>520</v>
      </c>
      <c r="F224" s="411" t="s">
        <v>254</v>
      </c>
      <c r="G224" s="410">
        <v>139.53</v>
      </c>
      <c r="H224" s="410">
        <v>0</v>
      </c>
    </row>
    <row r="226" spans="1:8" x14ac:dyDescent="0.25">
      <c r="A226" s="412" t="s">
        <v>438</v>
      </c>
      <c r="B226" s="412" t="s">
        <v>439</v>
      </c>
      <c r="C226" s="412" t="s">
        <v>300</v>
      </c>
      <c r="D226" s="412" t="s">
        <v>309</v>
      </c>
      <c r="E226" s="412" t="s">
        <v>519</v>
      </c>
      <c r="F226" s="412" t="s">
        <v>254</v>
      </c>
      <c r="G226" s="20">
        <v>156.99</v>
      </c>
      <c r="H226" s="20">
        <v>0</v>
      </c>
    </row>
    <row r="227" spans="1:8" x14ac:dyDescent="0.25">
      <c r="A227" s="412" t="s">
        <v>255</v>
      </c>
      <c r="B227" s="412" t="s">
        <v>256</v>
      </c>
      <c r="C227" s="412" t="s">
        <v>300</v>
      </c>
      <c r="D227" s="412" t="s">
        <v>309</v>
      </c>
      <c r="E227" s="412" t="s">
        <v>519</v>
      </c>
      <c r="F227" s="412" t="s">
        <v>254</v>
      </c>
      <c r="G227" s="20">
        <v>0</v>
      </c>
      <c r="H227" s="20">
        <v>156.99</v>
      </c>
    </row>
    <row r="228" spans="1:8" x14ac:dyDescent="0.25">
      <c r="A228" s="412" t="s">
        <v>263</v>
      </c>
      <c r="B228" s="412" t="s">
        <v>264</v>
      </c>
      <c r="C228" s="412" t="s">
        <v>300</v>
      </c>
      <c r="D228" s="412" t="s">
        <v>309</v>
      </c>
      <c r="E228" s="412" t="s">
        <v>518</v>
      </c>
      <c r="F228" s="412" t="s">
        <v>254</v>
      </c>
      <c r="G228" s="20">
        <v>34.47</v>
      </c>
      <c r="H228" s="20">
        <v>0</v>
      </c>
    </row>
    <row r="229" spans="1:8" ht="13.8" thickBot="1" x14ac:dyDescent="0.3">
      <c r="A229" s="411" t="s">
        <v>255</v>
      </c>
      <c r="B229" s="411" t="s">
        <v>256</v>
      </c>
      <c r="C229" s="411" t="s">
        <v>300</v>
      </c>
      <c r="D229" s="411" t="s">
        <v>309</v>
      </c>
      <c r="E229" s="411" t="s">
        <v>518</v>
      </c>
      <c r="F229" s="411" t="s">
        <v>254</v>
      </c>
      <c r="G229" s="410">
        <v>0</v>
      </c>
      <c r="H229" s="410">
        <v>34.47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R95"/>
  <sheetViews>
    <sheetView view="pageBreakPreview" topLeftCell="A59" zoomScaleNormal="100" workbookViewId="0">
      <selection activeCell="Z10" sqref="Z10"/>
    </sheetView>
  </sheetViews>
  <sheetFormatPr defaultColWidth="9.109375" defaultRowHeight="13.2" x14ac:dyDescent="0.25"/>
  <cols>
    <col min="1" max="1" width="32.33203125" style="195" customWidth="1"/>
    <col min="2" max="2" width="25.44140625" style="164" customWidth="1"/>
    <col min="3" max="3" width="21" style="164" customWidth="1"/>
    <col min="4" max="4" width="18.5546875" style="164" customWidth="1"/>
    <col min="5" max="5" width="14" style="163" customWidth="1"/>
    <col min="6" max="6" width="16.6640625" style="164" customWidth="1"/>
    <col min="7" max="7" width="13.33203125" style="18" customWidth="1"/>
    <col min="8" max="10" width="10.109375" style="195" bestFit="1" customWidth="1"/>
    <col min="11" max="11" width="10.44140625" style="195" customWidth="1"/>
    <col min="12" max="12" width="11.5546875" style="195" customWidth="1"/>
    <col min="13" max="14" width="9.109375" style="195"/>
    <col min="15" max="15" width="10" style="195" bestFit="1" customWidth="1"/>
    <col min="16" max="16384" width="9.109375" style="195"/>
  </cols>
  <sheetData>
    <row r="1" spans="1:7" x14ac:dyDescent="0.25">
      <c r="B1" s="145" t="s">
        <v>218</v>
      </c>
      <c r="C1" s="145"/>
      <c r="D1" s="145"/>
    </row>
    <row r="2" spans="1:7" hidden="1" x14ac:dyDescent="0.25">
      <c r="A2" s="146" t="s">
        <v>219</v>
      </c>
      <c r="B2" s="142" t="s">
        <v>220</v>
      </c>
      <c r="C2" s="143" t="s">
        <v>221</v>
      </c>
      <c r="D2" s="144" t="s">
        <v>222</v>
      </c>
      <c r="E2" s="147" t="s">
        <v>97</v>
      </c>
      <c r="F2" s="145"/>
      <c r="G2" s="148"/>
    </row>
    <row r="3" spans="1:7" ht="14.4" hidden="1" x14ac:dyDescent="0.35">
      <c r="A3" s="149"/>
      <c r="B3" s="141"/>
      <c r="C3" s="141"/>
      <c r="E3" s="150"/>
      <c r="F3" s="150"/>
      <c r="G3" s="148"/>
    </row>
    <row r="4" spans="1:7" hidden="1" x14ac:dyDescent="0.25">
      <c r="A4" s="195" t="s">
        <v>223</v>
      </c>
      <c r="B4" s="332">
        <v>10405.120000000001</v>
      </c>
      <c r="C4" s="163">
        <v>14356.12</v>
      </c>
      <c r="D4" s="163">
        <v>17284.849999999999</v>
      </c>
      <c r="E4" s="164">
        <f>SUM(B4:D4)</f>
        <v>42046.09</v>
      </c>
      <c r="G4" s="148"/>
    </row>
    <row r="5" spans="1:7" hidden="1" x14ac:dyDescent="0.25">
      <c r="A5" s="333" t="s">
        <v>224</v>
      </c>
      <c r="B5" s="333">
        <f>B7-B4+B6</f>
        <v>0</v>
      </c>
      <c r="C5" s="333">
        <f>C7-C4+C6</f>
        <v>0</v>
      </c>
      <c r="D5" s="333">
        <f>D7-D4+D6</f>
        <v>0</v>
      </c>
      <c r="E5" s="164">
        <f>SUM(B5:D5)</f>
        <v>0</v>
      </c>
      <c r="G5" s="148"/>
    </row>
    <row r="6" spans="1:7" hidden="1" x14ac:dyDescent="0.25">
      <c r="A6" s="195" t="s">
        <v>225</v>
      </c>
      <c r="B6" s="163">
        <v>0</v>
      </c>
      <c r="C6" s="163">
        <v>0</v>
      </c>
      <c r="D6" s="164">
        <v>0</v>
      </c>
      <c r="E6" s="164">
        <f>SUM(B6:D6)</f>
        <v>0</v>
      </c>
      <c r="G6" s="148"/>
    </row>
    <row r="7" spans="1:7" ht="13.8" hidden="1" thickBot="1" x14ac:dyDescent="0.3">
      <c r="A7" s="334" t="s">
        <v>226</v>
      </c>
      <c r="B7" s="334">
        <v>10405.120000000001</v>
      </c>
      <c r="C7" s="334">
        <v>14356.12</v>
      </c>
      <c r="D7" s="334">
        <v>17284.849999999999</v>
      </c>
      <c r="E7" s="165">
        <f>SUM(E4:E6)</f>
        <v>42046.09</v>
      </c>
      <c r="G7" s="148"/>
    </row>
    <row r="8" spans="1:7" hidden="1" x14ac:dyDescent="0.25">
      <c r="A8" s="333"/>
      <c r="B8" s="333"/>
      <c r="C8" s="333"/>
      <c r="E8" s="164"/>
      <c r="G8" s="148"/>
    </row>
    <row r="9" spans="1:7" hidden="1" x14ac:dyDescent="0.25">
      <c r="A9" s="151" t="s">
        <v>227</v>
      </c>
      <c r="B9" s="141"/>
      <c r="C9" s="141"/>
      <c r="E9" s="164"/>
      <c r="G9" s="148"/>
    </row>
    <row r="10" spans="1:7" hidden="1" x14ac:dyDescent="0.25">
      <c r="A10" s="152"/>
      <c r="B10" s="141"/>
      <c r="C10" s="141"/>
      <c r="E10" s="164"/>
      <c r="G10" s="19"/>
    </row>
    <row r="11" spans="1:7" hidden="1" x14ac:dyDescent="0.25">
      <c r="A11" s="195" t="s">
        <v>223</v>
      </c>
      <c r="B11" s="332">
        <f>8851.99-4600</f>
        <v>4251.99</v>
      </c>
      <c r="C11" s="332">
        <v>12987.86</v>
      </c>
      <c r="D11" s="332">
        <v>10523.9</v>
      </c>
      <c r="E11" s="164">
        <f>SUM(B11:D11)</f>
        <v>27763.75</v>
      </c>
      <c r="G11" s="148"/>
    </row>
    <row r="12" spans="1:7" hidden="1" x14ac:dyDescent="0.25">
      <c r="A12" s="333" t="s">
        <v>228</v>
      </c>
      <c r="B12" s="333">
        <f>B14-B11+B13</f>
        <v>553.26000000000022</v>
      </c>
      <c r="C12" s="333">
        <f>C14-C11+C13</f>
        <v>271.51000000000022</v>
      </c>
      <c r="D12" s="333">
        <f>D14-D11+D13</f>
        <v>1032.0400000000009</v>
      </c>
      <c r="E12" s="164">
        <f>SUM(B12:D12)</f>
        <v>1856.8100000000013</v>
      </c>
      <c r="G12" s="148"/>
    </row>
    <row r="13" spans="1:7" hidden="1" x14ac:dyDescent="0.25">
      <c r="A13" s="333" t="s">
        <v>229</v>
      </c>
      <c r="B13" s="333">
        <v>0</v>
      </c>
      <c r="C13" s="333">
        <v>0</v>
      </c>
      <c r="D13" s="333">
        <v>0</v>
      </c>
      <c r="E13" s="164">
        <f>SUM(B13:D13)</f>
        <v>0</v>
      </c>
      <c r="G13" s="148"/>
    </row>
    <row r="14" spans="1:7" ht="13.8" hidden="1" thickBot="1" x14ac:dyDescent="0.3">
      <c r="A14" s="334" t="s">
        <v>226</v>
      </c>
      <c r="B14" s="334">
        <v>4805.25</v>
      </c>
      <c r="C14" s="334">
        <v>13259.37</v>
      </c>
      <c r="D14" s="165">
        <v>11555.94</v>
      </c>
      <c r="E14" s="165">
        <f>SUM(E11:E13)</f>
        <v>29620.560000000001</v>
      </c>
      <c r="G14" s="148"/>
    </row>
    <row r="15" spans="1:7" hidden="1" x14ac:dyDescent="0.25">
      <c r="B15" s="163"/>
      <c r="C15" s="163"/>
      <c r="E15" s="164"/>
      <c r="G15" s="148"/>
    </row>
    <row r="16" spans="1:7" s="156" customFormat="1" ht="13.8" hidden="1" thickBot="1" x14ac:dyDescent="0.3">
      <c r="A16" s="153" t="s">
        <v>230</v>
      </c>
      <c r="B16" s="154">
        <f>B7-B14</f>
        <v>5599.8700000000008</v>
      </c>
      <c r="C16" s="154">
        <f>C7-C14</f>
        <v>1096.75</v>
      </c>
      <c r="D16" s="154">
        <f>D7-D14</f>
        <v>5728.909999999998</v>
      </c>
      <c r="E16" s="154">
        <f>E7-E14</f>
        <v>12425.529999999995</v>
      </c>
      <c r="F16" s="145"/>
      <c r="G16" s="155"/>
    </row>
    <row r="17" spans="1:7" hidden="1" x14ac:dyDescent="0.25">
      <c r="B17" s="163"/>
      <c r="C17" s="163"/>
      <c r="E17" s="164"/>
      <c r="G17" s="148"/>
    </row>
    <row r="18" spans="1:7" ht="13.8" hidden="1" thickBot="1" x14ac:dyDescent="0.3">
      <c r="A18" s="335" t="s">
        <v>231</v>
      </c>
      <c r="B18" s="336">
        <f>B4-B11</f>
        <v>6153.130000000001</v>
      </c>
      <c r="C18" s="336">
        <f>C4-C11</f>
        <v>1368.2600000000002</v>
      </c>
      <c r="D18" s="336">
        <f>D4-D11</f>
        <v>6760.9499999999989</v>
      </c>
      <c r="E18" s="336">
        <f>E4-E11</f>
        <v>14282.339999999997</v>
      </c>
      <c r="G18" s="148"/>
    </row>
    <row r="19" spans="1:7" hidden="1" x14ac:dyDescent="0.25"/>
    <row r="20" spans="1:7" hidden="1" x14ac:dyDescent="0.25"/>
    <row r="21" spans="1:7" s="158" customFormat="1" hidden="1" x14ac:dyDescent="0.25">
      <c r="A21" s="157"/>
      <c r="B21" s="142" t="s">
        <v>232</v>
      </c>
      <c r="C21" s="143" t="s">
        <v>233</v>
      </c>
      <c r="D21" s="144" t="s">
        <v>234</v>
      </c>
      <c r="E21" s="147" t="s">
        <v>97</v>
      </c>
      <c r="F21" s="150"/>
      <c r="G21" s="113"/>
    </row>
    <row r="22" spans="1:7" hidden="1" x14ac:dyDescent="0.25">
      <c r="A22" s="195" t="s">
        <v>235</v>
      </c>
      <c r="B22" s="164">
        <v>13322.76</v>
      </c>
      <c r="C22" s="164">
        <v>0</v>
      </c>
      <c r="D22" s="164">
        <v>22000</v>
      </c>
      <c r="E22" s="163">
        <f>SUM(B22:D22)</f>
        <v>35322.76</v>
      </c>
    </row>
    <row r="23" spans="1:7" hidden="1" x14ac:dyDescent="0.25">
      <c r="A23" s="195" t="s">
        <v>236</v>
      </c>
      <c r="B23" s="164">
        <v>0</v>
      </c>
      <c r="C23" s="164">
        <v>20000</v>
      </c>
      <c r="D23" s="164">
        <v>-20000</v>
      </c>
      <c r="E23" s="163">
        <f>SUM(B23:D23)</f>
        <v>0</v>
      </c>
    </row>
    <row r="24" spans="1:7" hidden="1" x14ac:dyDescent="0.25">
      <c r="A24" s="195" t="s">
        <v>237</v>
      </c>
      <c r="B24" s="164" t="e">
        <v>#REF!</v>
      </c>
      <c r="C24" s="164">
        <v>0</v>
      </c>
      <c r="D24" s="164">
        <v>0</v>
      </c>
      <c r="E24" s="163" t="e">
        <f>SUM(B24:D24)</f>
        <v>#REF!</v>
      </c>
    </row>
    <row r="25" spans="1:7" ht="13.8" hidden="1" thickBot="1" x14ac:dyDescent="0.3">
      <c r="A25" s="337" t="s">
        <v>238</v>
      </c>
      <c r="B25" s="338" t="e">
        <f>SUM(B22:B24)</f>
        <v>#REF!</v>
      </c>
      <c r="C25" s="338">
        <f>SUM(C22:C24)</f>
        <v>20000</v>
      </c>
      <c r="D25" s="338">
        <f>SUM(D22:D24)</f>
        <v>2000</v>
      </c>
      <c r="E25" s="339" t="e">
        <f>SUM(E22:E24)</f>
        <v>#REF!</v>
      </c>
    </row>
    <row r="26" spans="1:7" x14ac:dyDescent="0.25">
      <c r="A26" s="146" t="s">
        <v>219</v>
      </c>
      <c r="B26" s="142" t="s">
        <v>220</v>
      </c>
      <c r="C26" s="145"/>
      <c r="D26" s="145"/>
      <c r="E26" s="145"/>
      <c r="F26" s="145"/>
      <c r="G26" s="148"/>
    </row>
    <row r="27" spans="1:7" ht="14.4" x14ac:dyDescent="0.35">
      <c r="A27" s="149"/>
      <c r="B27" s="141"/>
      <c r="C27" s="141"/>
      <c r="E27" s="150"/>
      <c r="F27" s="150"/>
      <c r="G27" s="148"/>
    </row>
    <row r="28" spans="1:7" x14ac:dyDescent="0.25">
      <c r="A28" s="195" t="s">
        <v>223</v>
      </c>
      <c r="B28" s="333">
        <v>11244.52</v>
      </c>
      <c r="C28" s="163"/>
      <c r="D28" s="163"/>
      <c r="E28" s="164"/>
      <c r="G28" s="148"/>
    </row>
    <row r="29" spans="1:7" x14ac:dyDescent="0.25">
      <c r="A29" s="333" t="s">
        <v>224</v>
      </c>
      <c r="B29" s="333">
        <f>+B31-B28</f>
        <v>0</v>
      </c>
      <c r="C29" s="333"/>
      <c r="D29" s="333"/>
      <c r="E29" s="164"/>
      <c r="G29" s="148"/>
    </row>
    <row r="30" spans="1:7" x14ac:dyDescent="0.25">
      <c r="A30" s="195" t="s">
        <v>225</v>
      </c>
      <c r="B30" s="163">
        <v>0</v>
      </c>
      <c r="C30" s="163"/>
      <c r="E30" s="164"/>
      <c r="G30" s="148"/>
    </row>
    <row r="31" spans="1:7" ht="13.8" thickBot="1" x14ac:dyDescent="0.3">
      <c r="A31" s="334" t="s">
        <v>226</v>
      </c>
      <c r="B31" s="334">
        <v>11244.52</v>
      </c>
      <c r="C31" s="333"/>
      <c r="D31" s="333"/>
      <c r="E31" s="164"/>
      <c r="G31" s="148"/>
    </row>
    <row r="32" spans="1:7" ht="13.8" thickTop="1" x14ac:dyDescent="0.25">
      <c r="A32" s="333"/>
      <c r="B32" s="333"/>
      <c r="C32" s="333"/>
      <c r="E32" s="164"/>
      <c r="G32" s="148"/>
    </row>
    <row r="33" spans="1:7" x14ac:dyDescent="0.25">
      <c r="A33" s="151" t="s">
        <v>227</v>
      </c>
      <c r="B33" s="141"/>
      <c r="C33" s="141"/>
      <c r="E33" s="164"/>
      <c r="G33" s="148"/>
    </row>
    <row r="34" spans="1:7" x14ac:dyDescent="0.25">
      <c r="A34" s="152"/>
      <c r="B34" s="141"/>
      <c r="C34" s="141"/>
      <c r="E34" s="164"/>
      <c r="G34" s="19"/>
    </row>
    <row r="35" spans="1:7" x14ac:dyDescent="0.25">
      <c r="A35" s="195" t="s">
        <v>223</v>
      </c>
      <c r="B35" s="163">
        <v>10889.33</v>
      </c>
      <c r="C35" s="332"/>
      <c r="D35" s="332"/>
      <c r="E35" s="164"/>
      <c r="G35" s="148"/>
    </row>
    <row r="36" spans="1:7" x14ac:dyDescent="0.25">
      <c r="A36" s="333" t="s">
        <v>228</v>
      </c>
      <c r="B36" s="333">
        <f>B38-B35</f>
        <v>0</v>
      </c>
      <c r="C36" s="333"/>
      <c r="D36" s="333"/>
      <c r="E36" s="164"/>
      <c r="G36" s="148"/>
    </row>
    <row r="37" spans="1:7" x14ac:dyDescent="0.25">
      <c r="A37" s="333" t="s">
        <v>229</v>
      </c>
      <c r="B37" s="333">
        <v>0</v>
      </c>
      <c r="C37" s="333"/>
      <c r="D37" s="333"/>
      <c r="E37" s="164"/>
      <c r="G37" s="148"/>
    </row>
    <row r="38" spans="1:7" ht="13.8" thickBot="1" x14ac:dyDescent="0.3">
      <c r="A38" s="334" t="s">
        <v>226</v>
      </c>
      <c r="B38" s="334">
        <v>10889.33</v>
      </c>
      <c r="C38" s="333"/>
      <c r="E38" s="164"/>
      <c r="G38" s="148"/>
    </row>
    <row r="39" spans="1:7" ht="13.8" thickTop="1" x14ac:dyDescent="0.25">
      <c r="B39" s="163"/>
      <c r="C39" s="163"/>
      <c r="E39" s="164"/>
      <c r="G39" s="148"/>
    </row>
    <row r="40" spans="1:7" s="156" customFormat="1" ht="13.8" thickBot="1" x14ac:dyDescent="0.3">
      <c r="A40" s="153" t="s">
        <v>432</v>
      </c>
      <c r="B40" s="154">
        <f>+B31-B38</f>
        <v>355.19000000000051</v>
      </c>
      <c r="C40" s="145"/>
      <c r="D40" s="145"/>
      <c r="E40" s="145"/>
      <c r="F40" s="145"/>
      <c r="G40" s="155"/>
    </row>
    <row r="41" spans="1:7" ht="13.8" thickTop="1" x14ac:dyDescent="0.25">
      <c r="B41" s="163"/>
      <c r="C41" s="163" t="s">
        <v>131</v>
      </c>
      <c r="D41" s="163"/>
      <c r="E41" s="164"/>
      <c r="G41" s="148"/>
    </row>
    <row r="42" spans="1:7" s="156" customFormat="1" ht="13.8" thickBot="1" x14ac:dyDescent="0.3">
      <c r="A42" s="153" t="s">
        <v>322</v>
      </c>
      <c r="B42" s="154">
        <f>+B28-B35</f>
        <v>355.19000000000051</v>
      </c>
      <c r="C42" s="145"/>
      <c r="D42" s="145"/>
      <c r="E42" s="145"/>
      <c r="F42" s="145"/>
      <c r="G42" s="155"/>
    </row>
    <row r="43" spans="1:7" ht="13.8" thickTop="1" x14ac:dyDescent="0.25"/>
    <row r="44" spans="1:7" ht="21" x14ac:dyDescent="0.25">
      <c r="B44" s="196" t="s">
        <v>278</v>
      </c>
      <c r="C44" s="197" t="s">
        <v>279</v>
      </c>
      <c r="D44" s="198" t="s">
        <v>97</v>
      </c>
    </row>
    <row r="45" spans="1:7" x14ac:dyDescent="0.25">
      <c r="A45" s="195" t="s">
        <v>280</v>
      </c>
      <c r="B45" s="164">
        <v>6630.1</v>
      </c>
      <c r="C45" s="164">
        <f>7825+725</f>
        <v>8550</v>
      </c>
      <c r="D45" s="164">
        <f>SUM(B45:C45)</f>
        <v>15180.1</v>
      </c>
    </row>
    <row r="46" spans="1:7" x14ac:dyDescent="0.25">
      <c r="A46" s="195" t="s">
        <v>236</v>
      </c>
      <c r="B46" s="164">
        <v>0</v>
      </c>
      <c r="C46" s="164">
        <v>0</v>
      </c>
      <c r="D46" s="164">
        <f>SUM(B46:C46)</f>
        <v>0</v>
      </c>
    </row>
    <row r="47" spans="1:7" x14ac:dyDescent="0.25">
      <c r="A47" s="195" t="s">
        <v>281</v>
      </c>
      <c r="B47" s="164">
        <f>+'Mgt account 15-16'!E182</f>
        <v>-10504.819999999992</v>
      </c>
      <c r="C47" s="164">
        <v>0</v>
      </c>
      <c r="D47" s="164">
        <f>SUM(B47:C47)</f>
        <v>-10504.819999999992</v>
      </c>
    </row>
    <row r="48" spans="1:7" ht="13.8" thickBot="1" x14ac:dyDescent="0.3">
      <c r="A48" s="195" t="s">
        <v>282</v>
      </c>
      <c r="B48" s="165">
        <f>SUM(B45:B47)</f>
        <v>-3874.7199999999921</v>
      </c>
      <c r="C48" s="165">
        <f>SUM(C45:C47)</f>
        <v>8550</v>
      </c>
      <c r="D48" s="165">
        <f>SUM(D45:D47)</f>
        <v>4675.2800000000079</v>
      </c>
      <c r="G48" s="18">
        <v>7.2</v>
      </c>
    </row>
    <row r="49" spans="1:18" ht="13.8" thickTop="1" x14ac:dyDescent="0.25">
      <c r="G49" s="3">
        <f>+D48+G48</f>
        <v>4682.4800000000077</v>
      </c>
    </row>
    <row r="50" spans="1:18" s="162" customFormat="1" ht="13.8" thickBot="1" x14ac:dyDescent="0.3">
      <c r="A50" s="159"/>
      <c r="B50" s="142" t="s">
        <v>239</v>
      </c>
      <c r="C50" s="160" t="s">
        <v>240</v>
      </c>
      <c r="D50" s="144" t="s">
        <v>241</v>
      </c>
      <c r="E50" s="161"/>
      <c r="F50" s="150"/>
      <c r="G50" s="186">
        <v>4469.43</v>
      </c>
    </row>
    <row r="51" spans="1:18" ht="13.8" thickTop="1" x14ac:dyDescent="0.25">
      <c r="A51" s="195" t="s">
        <v>242</v>
      </c>
      <c r="B51" s="413">
        <v>60007.31</v>
      </c>
      <c r="C51" s="163">
        <f>D51-B51</f>
        <v>0</v>
      </c>
      <c r="D51" s="163">
        <v>60007.31</v>
      </c>
      <c r="E51" s="163">
        <f>+D51</f>
        <v>60007.31</v>
      </c>
      <c r="G51" s="3" t="s">
        <v>131</v>
      </c>
    </row>
    <row r="52" spans="1:18" x14ac:dyDescent="0.25">
      <c r="A52" s="195" t="s">
        <v>243</v>
      </c>
      <c r="B52" s="414">
        <v>8916.43</v>
      </c>
      <c r="C52" s="163">
        <f>D52-B52</f>
        <v>0</v>
      </c>
      <c r="D52" s="163">
        <v>8916.43</v>
      </c>
      <c r="E52" s="163" t="s">
        <v>131</v>
      </c>
      <c r="G52" s="18" t="s">
        <v>131</v>
      </c>
      <c r="H52" s="340">
        <f>+G50-G49</f>
        <v>-213.05000000000746</v>
      </c>
    </row>
    <row r="53" spans="1:18" x14ac:dyDescent="0.25">
      <c r="A53" s="195" t="s">
        <v>244</v>
      </c>
      <c r="B53" s="163">
        <v>0</v>
      </c>
      <c r="C53" s="164">
        <v>0</v>
      </c>
      <c r="D53" s="163">
        <v>0</v>
      </c>
    </row>
    <row r="54" spans="1:18" x14ac:dyDescent="0.25">
      <c r="A54" s="195" t="s">
        <v>304</v>
      </c>
      <c r="B54" s="163">
        <v>0</v>
      </c>
      <c r="C54" s="164">
        <v>0</v>
      </c>
      <c r="D54" s="163">
        <v>0</v>
      </c>
      <c r="G54" s="3"/>
      <c r="L54" s="340"/>
      <c r="M54" s="343"/>
    </row>
    <row r="55" spans="1:18" ht="13.8" thickBot="1" x14ac:dyDescent="0.3">
      <c r="B55" s="165">
        <f>SUM(B51:B54)</f>
        <v>68923.739999999991</v>
      </c>
      <c r="C55" s="165">
        <f>SUM(C51:C54)</f>
        <v>0</v>
      </c>
      <c r="D55" s="165">
        <f>SUM(D51:D54)</f>
        <v>68923.739999999991</v>
      </c>
      <c r="H55" s="340"/>
      <c r="M55" s="195" t="s">
        <v>131</v>
      </c>
    </row>
    <row r="56" spans="1:18" ht="13.8" thickTop="1" x14ac:dyDescent="0.25">
      <c r="B56" s="164" t="s">
        <v>131</v>
      </c>
      <c r="D56" s="164" t="s">
        <v>131</v>
      </c>
      <c r="H56" s="340"/>
      <c r="L56" s="343">
        <f>+K61/3</f>
        <v>150.20666666666668</v>
      </c>
      <c r="M56" s="343">
        <f>+L56*2</f>
        <v>300.41333333333336</v>
      </c>
      <c r="N56" s="343">
        <f>+M56+L56</f>
        <v>450.62</v>
      </c>
    </row>
    <row r="57" spans="1:18" x14ac:dyDescent="0.25">
      <c r="B57" s="20" t="s">
        <v>131</v>
      </c>
      <c r="C57"/>
      <c r="D57" s="164">
        <v>68923.740000000005</v>
      </c>
      <c r="E57" s="163" t="s">
        <v>131</v>
      </c>
      <c r="K57" s="343" t="s">
        <v>131</v>
      </c>
      <c r="L57" s="343" t="s">
        <v>131</v>
      </c>
      <c r="M57" s="343"/>
      <c r="N57" s="343"/>
    </row>
    <row r="58" spans="1:18" x14ac:dyDescent="0.25">
      <c r="A58" s="17" t="s">
        <v>148</v>
      </c>
      <c r="B58" s="20" t="s">
        <v>131</v>
      </c>
      <c r="C58"/>
      <c r="D58" s="164">
        <f>+D55-D57</f>
        <v>0</v>
      </c>
      <c r="E58" s="163" t="s">
        <v>131</v>
      </c>
      <c r="G58" s="341"/>
      <c r="H58" s="341"/>
      <c r="K58" s="195" t="s">
        <v>131</v>
      </c>
      <c r="L58" s="195" t="s">
        <v>131</v>
      </c>
      <c r="M58" s="340" t="s">
        <v>131</v>
      </c>
    </row>
    <row r="59" spans="1:18" ht="16.8" x14ac:dyDescent="0.55000000000000004">
      <c r="A59" s="17" t="s">
        <v>245</v>
      </c>
      <c r="B59" s="76" t="s">
        <v>246</v>
      </c>
      <c r="C59"/>
      <c r="D59" s="166">
        <v>42430</v>
      </c>
      <c r="F59" s="166">
        <v>42401</v>
      </c>
      <c r="G59" s="166" t="s">
        <v>247</v>
      </c>
      <c r="H59" s="166">
        <v>42339</v>
      </c>
      <c r="I59" s="167" t="s">
        <v>248</v>
      </c>
      <c r="J59" s="342" t="s">
        <v>249</v>
      </c>
      <c r="K59" s="342" t="s">
        <v>250</v>
      </c>
      <c r="L59" s="195" t="s">
        <v>288</v>
      </c>
      <c r="M59" s="195" t="s">
        <v>289</v>
      </c>
    </row>
    <row r="60" spans="1:18" x14ac:dyDescent="0.25">
      <c r="A60" s="21" t="s">
        <v>23</v>
      </c>
      <c r="B60" s="169">
        <v>1</v>
      </c>
      <c r="C60" s="170" t="s">
        <v>161</v>
      </c>
      <c r="D60" s="171">
        <f>(H60-J60)/(J60-I60)*K60</f>
        <v>227.76428571428571</v>
      </c>
      <c r="F60" s="171">
        <v>202.33600000000001</v>
      </c>
      <c r="G60" s="171">
        <f>+D60-F60</f>
        <v>25.428285714285693</v>
      </c>
      <c r="H60" s="172">
        <v>42460</v>
      </c>
      <c r="I60" s="173">
        <v>42405</v>
      </c>
      <c r="J60" s="172">
        <v>42433</v>
      </c>
      <c r="K60" s="174">
        <v>236.2</v>
      </c>
      <c r="L60" s="340">
        <f>+G60/3*2</f>
        <v>16.952190476190463</v>
      </c>
      <c r="M60" s="340">
        <f>+G60/3</f>
        <v>8.4760952380952315</v>
      </c>
      <c r="N60" s="340">
        <f>+M60+L60-G60</f>
        <v>0</v>
      </c>
      <c r="O60" s="343">
        <f>+K60/3</f>
        <v>78.733333333333334</v>
      </c>
      <c r="P60" s="343">
        <f>+D60/3*2</f>
        <v>151.84285714285713</v>
      </c>
      <c r="Q60" s="343"/>
      <c r="R60" s="344"/>
    </row>
    <row r="61" spans="1:18" x14ac:dyDescent="0.25">
      <c r="A61" s="21"/>
      <c r="B61" s="169">
        <v>2</v>
      </c>
      <c r="C61" s="170" t="s">
        <v>163</v>
      </c>
      <c r="D61" s="171">
        <f>(H61-J61)/(J61-I61)*K61</f>
        <v>434.5264285714286</v>
      </c>
      <c r="F61" s="171">
        <v>385.13600000000002</v>
      </c>
      <c r="G61" s="171">
        <f>D61-F61</f>
        <v>49.390428571428572</v>
      </c>
      <c r="H61" s="172">
        <f>+H60</f>
        <v>42460</v>
      </c>
      <c r="I61" s="173">
        <v>42405</v>
      </c>
      <c r="J61" s="172">
        <v>42433</v>
      </c>
      <c r="K61" s="174">
        <v>450.62</v>
      </c>
      <c r="L61" s="340">
        <f>+G61/3*2</f>
        <v>32.926952380952379</v>
      </c>
      <c r="M61" s="343">
        <f>+G61/3</f>
        <v>16.463476190476189</v>
      </c>
      <c r="N61" s="340">
        <f>+M61+L61-G61</f>
        <v>0</v>
      </c>
      <c r="O61" s="194">
        <f>+K61/3</f>
        <v>150.20666666666668</v>
      </c>
      <c r="P61" s="343">
        <f>+D61/3*2</f>
        <v>289.68428571428575</v>
      </c>
      <c r="Q61" s="343"/>
      <c r="R61" s="344"/>
    </row>
    <row r="62" spans="1:18" ht="13.8" thickBot="1" x14ac:dyDescent="0.3">
      <c r="A62" s="21"/>
      <c r="B62" s="169"/>
      <c r="C62" s="170"/>
      <c r="D62" s="176"/>
      <c r="E62" s="177"/>
      <c r="F62" s="176"/>
      <c r="G62" s="176"/>
      <c r="H62" s="173"/>
      <c r="I62" s="178">
        <f>SUM(K60:K61)</f>
        <v>686.81999999999994</v>
      </c>
      <c r="J62" s="168"/>
      <c r="K62" s="174">
        <f>234.83*40%</f>
        <v>93.932000000000016</v>
      </c>
      <c r="L62" s="195" t="s">
        <v>131</v>
      </c>
      <c r="M62" s="340" t="s">
        <v>131</v>
      </c>
      <c r="N62" s="195" t="s">
        <v>131</v>
      </c>
      <c r="O62" s="343" t="s">
        <v>131</v>
      </c>
    </row>
    <row r="63" spans="1:18" ht="13.8" thickTop="1" x14ac:dyDescent="0.25">
      <c r="A63" s="21"/>
      <c r="B63" s="19"/>
      <c r="C63" s="170"/>
      <c r="D63" s="171">
        <f>SUM(D60:D62)</f>
        <v>662.29071428571433</v>
      </c>
      <c r="E63" s="171">
        <f>D63</f>
        <v>662.29071428571433</v>
      </c>
      <c r="F63" s="171">
        <f>SUM(F60:F62)</f>
        <v>587.47199999999998</v>
      </c>
      <c r="G63" s="174">
        <f t="shared" ref="G63:G77" si="0">E63-F63</f>
        <v>74.81871428571435</v>
      </c>
      <c r="H63" s="194" t="s">
        <v>131</v>
      </c>
      <c r="I63" s="174">
        <f>F63-G63</f>
        <v>512.65328571428563</v>
      </c>
      <c r="J63" s="168"/>
      <c r="K63" s="340">
        <f>+K62/40*60</f>
        <v>140.89800000000002</v>
      </c>
      <c r="L63" s="343" t="s">
        <v>131</v>
      </c>
      <c r="M63" s="174" t="s">
        <v>131</v>
      </c>
      <c r="P63" s="343"/>
      <c r="Q63" s="343"/>
    </row>
    <row r="64" spans="1:18" x14ac:dyDescent="0.25">
      <c r="A64" s="21"/>
      <c r="B64" s="19"/>
      <c r="C64" s="170"/>
      <c r="D64" s="171"/>
      <c r="E64" s="171"/>
      <c r="F64" s="171"/>
      <c r="G64" s="174">
        <f t="shared" si="0"/>
        <v>0</v>
      </c>
      <c r="H64" s="168"/>
      <c r="I64" s="174"/>
      <c r="J64" s="168"/>
      <c r="L64" s="343" t="s">
        <v>131</v>
      </c>
      <c r="M64" s="344"/>
      <c r="O64" s="344"/>
      <c r="P64" s="343"/>
      <c r="Q64" s="343"/>
    </row>
    <row r="65" spans="1:17" x14ac:dyDescent="0.25">
      <c r="A65" s="21"/>
      <c r="B65" s="170"/>
      <c r="C65" s="170"/>
      <c r="D65" s="171"/>
      <c r="E65" s="171"/>
      <c r="F65" s="345"/>
      <c r="G65" s="174">
        <f t="shared" si="0"/>
        <v>0</v>
      </c>
      <c r="H65" s="168"/>
      <c r="I65" s="174"/>
      <c r="J65" s="168"/>
      <c r="P65" s="343"/>
      <c r="Q65" s="343"/>
    </row>
    <row r="66" spans="1:17" x14ac:dyDescent="0.25">
      <c r="A66" s="23" t="s">
        <v>285</v>
      </c>
      <c r="B66" s="170"/>
      <c r="C66" s="170">
        <f>+D60-D67</f>
        <v>216.37</v>
      </c>
      <c r="D66" s="171"/>
      <c r="E66" s="171">
        <v>0</v>
      </c>
      <c r="F66" s="171">
        <v>0</v>
      </c>
      <c r="G66" s="174">
        <f t="shared" si="0"/>
        <v>0</v>
      </c>
      <c r="H66" s="168"/>
      <c r="I66" s="174">
        <v>86.87</v>
      </c>
      <c r="J66" s="179">
        <v>39007</v>
      </c>
      <c r="K66" s="179">
        <v>38917</v>
      </c>
      <c r="L66" s="343"/>
      <c r="P66" s="343"/>
      <c r="Q66" s="343"/>
    </row>
    <row r="67" spans="1:17" x14ac:dyDescent="0.25">
      <c r="A67" s="23" t="s">
        <v>286</v>
      </c>
      <c r="B67" s="170"/>
      <c r="C67" s="170">
        <f>+D61-D68</f>
        <v>418.06</v>
      </c>
      <c r="D67" s="171">
        <f>+D60-216.37</f>
        <v>11.394285714285701</v>
      </c>
      <c r="E67" s="171">
        <v>0</v>
      </c>
      <c r="F67" s="171">
        <v>0</v>
      </c>
      <c r="G67" s="174">
        <f t="shared" si="0"/>
        <v>0</v>
      </c>
      <c r="H67" s="174">
        <f>SUM(G66:G67)</f>
        <v>0</v>
      </c>
      <c r="I67" s="174">
        <v>132.83000000000001</v>
      </c>
      <c r="J67" s="179">
        <v>38938</v>
      </c>
      <c r="K67" s="179">
        <v>38846</v>
      </c>
      <c r="N67" s="344"/>
    </row>
    <row r="68" spans="1:17" ht="14.4" x14ac:dyDescent="0.3">
      <c r="A68" s="23" t="s">
        <v>415</v>
      </c>
      <c r="B68" s="170"/>
      <c r="C68" s="170"/>
      <c r="D68" s="171">
        <f>+D61-418.06</f>
        <v>16.466428571428594</v>
      </c>
      <c r="E68" s="391">
        <f>275*2</f>
        <v>550</v>
      </c>
      <c r="F68" s="391">
        <v>550</v>
      </c>
      <c r="G68" s="174">
        <f t="shared" si="0"/>
        <v>0</v>
      </c>
      <c r="H68" s="168"/>
      <c r="I68" s="175">
        <v>1275</v>
      </c>
      <c r="J68" s="168"/>
    </row>
    <row r="69" spans="1:17" x14ac:dyDescent="0.25">
      <c r="A69" s="23" t="s">
        <v>251</v>
      </c>
      <c r="B69" s="170"/>
      <c r="C69" s="170"/>
      <c r="D69" s="171">
        <f>+D68+D67</f>
        <v>27.860714285714295</v>
      </c>
      <c r="E69" s="171">
        <v>0</v>
      </c>
      <c r="F69" s="171">
        <v>0</v>
      </c>
      <c r="G69" s="174">
        <f t="shared" si="0"/>
        <v>0</v>
      </c>
      <c r="H69" s="168"/>
      <c r="I69" s="168"/>
      <c r="J69" s="168"/>
    </row>
    <row r="70" spans="1:17" x14ac:dyDescent="0.25">
      <c r="A70" s="23" t="s">
        <v>317</v>
      </c>
      <c r="B70" s="170"/>
      <c r="C70" s="170"/>
      <c r="D70" s="171"/>
      <c r="E70" s="171">
        <v>0</v>
      </c>
      <c r="F70" s="171">
        <v>0</v>
      </c>
      <c r="G70" s="174">
        <f t="shared" si="0"/>
        <v>0</v>
      </c>
      <c r="H70" s="168"/>
      <c r="I70" s="168"/>
      <c r="J70" s="168"/>
    </row>
    <row r="71" spans="1:17" x14ac:dyDescent="0.25">
      <c r="A71" s="23" t="s">
        <v>149</v>
      </c>
      <c r="B71" s="170"/>
      <c r="C71" s="170"/>
      <c r="D71" s="171"/>
      <c r="E71" s="171">
        <v>2000</v>
      </c>
      <c r="F71" s="171">
        <v>0</v>
      </c>
      <c r="G71" s="174">
        <f t="shared" si="0"/>
        <v>2000</v>
      </c>
      <c r="H71" s="168"/>
      <c r="I71" s="168"/>
      <c r="J71" s="168"/>
    </row>
    <row r="72" spans="1:17" x14ac:dyDescent="0.25">
      <c r="A72" s="23" t="s">
        <v>252</v>
      </c>
      <c r="B72" s="170"/>
      <c r="C72" s="170"/>
      <c r="D72" s="171"/>
      <c r="E72" s="171">
        <v>0</v>
      </c>
      <c r="F72" s="171">
        <v>0</v>
      </c>
      <c r="G72" s="174">
        <f t="shared" si="0"/>
        <v>0</v>
      </c>
      <c r="H72" s="168"/>
      <c r="I72" s="168"/>
      <c r="J72" s="168"/>
    </row>
    <row r="73" spans="1:17" x14ac:dyDescent="0.25">
      <c r="A73" s="23" t="s">
        <v>290</v>
      </c>
      <c r="B73" s="170"/>
      <c r="C73" s="170"/>
      <c r="D73" s="171"/>
      <c r="E73" s="171">
        <v>0</v>
      </c>
      <c r="F73" s="171">
        <v>0</v>
      </c>
      <c r="G73" s="174">
        <f t="shared" si="0"/>
        <v>0</v>
      </c>
      <c r="H73" s="168">
        <v>153.86000000000001</v>
      </c>
      <c r="I73" s="174">
        <f>H73-E68</f>
        <v>-396.14</v>
      </c>
      <c r="J73" s="168"/>
    </row>
    <row r="74" spans="1:17" x14ac:dyDescent="0.25">
      <c r="A74" s="23" t="s">
        <v>416</v>
      </c>
      <c r="B74" s="170"/>
      <c r="C74" s="415" t="s">
        <v>131</v>
      </c>
      <c r="D74" s="171"/>
      <c r="E74" s="171">
        <f>291.67*9</f>
        <v>2625.03</v>
      </c>
      <c r="F74" s="171">
        <v>1833.3600000000001</v>
      </c>
      <c r="G74" s="174">
        <f t="shared" si="0"/>
        <v>791.67000000000007</v>
      </c>
      <c r="H74" s="168"/>
      <c r="I74" s="174"/>
      <c r="J74" s="168"/>
    </row>
    <row r="75" spans="1:17" x14ac:dyDescent="0.25">
      <c r="A75" s="23" t="s">
        <v>253</v>
      </c>
      <c r="B75" s="170"/>
      <c r="C75" s="170"/>
      <c r="D75" s="175"/>
      <c r="E75" s="171">
        <v>0</v>
      </c>
      <c r="F75" s="171">
        <v>0</v>
      </c>
      <c r="G75" s="174">
        <f t="shared" si="0"/>
        <v>0</v>
      </c>
      <c r="H75" s="168"/>
      <c r="I75" s="168"/>
      <c r="J75" s="168"/>
      <c r="K75" s="171">
        <f>1500+250+250+250+275+275+275+275+275+275+275+275+275+275+229.17-645.83</f>
        <v>4583.34</v>
      </c>
    </row>
    <row r="76" spans="1:17" x14ac:dyDescent="0.25">
      <c r="A76" s="23" t="s">
        <v>316</v>
      </c>
      <c r="B76" s="170"/>
      <c r="C76" s="170" t="s">
        <v>131</v>
      </c>
      <c r="D76" s="175"/>
      <c r="E76" s="171">
        <v>3900</v>
      </c>
      <c r="F76" s="171">
        <v>0</v>
      </c>
      <c r="G76" s="174">
        <f t="shared" si="0"/>
        <v>3900</v>
      </c>
      <c r="H76" s="168"/>
      <c r="I76" s="168"/>
      <c r="J76" s="168">
        <v>6</v>
      </c>
      <c r="K76" s="174" t="s">
        <v>131</v>
      </c>
    </row>
    <row r="77" spans="1:17" x14ac:dyDescent="0.25">
      <c r="A77" s="23" t="s">
        <v>0</v>
      </c>
      <c r="B77" s="170"/>
      <c r="C77" s="170"/>
      <c r="D77" s="175"/>
      <c r="E77" s="171">
        <v>0</v>
      </c>
      <c r="F77" s="171">
        <v>0</v>
      </c>
      <c r="G77" s="174">
        <f t="shared" si="0"/>
        <v>0</v>
      </c>
      <c r="H77" s="168"/>
      <c r="I77" s="168"/>
      <c r="J77" s="168">
        <v>19</v>
      </c>
    </row>
    <row r="78" spans="1:17" ht="13.8" thickBot="1" x14ac:dyDescent="0.3">
      <c r="A78"/>
      <c r="B78" s="170"/>
      <c r="C78" s="170" t="s">
        <v>131</v>
      </c>
      <c r="D78" s="175" t="s">
        <v>131</v>
      </c>
      <c r="E78" s="346">
        <f>SUM(E63:E77)</f>
        <v>9737.3207142857136</v>
      </c>
      <c r="F78" s="346">
        <f>SUM(F63:F77)</f>
        <v>2970.8320000000003</v>
      </c>
      <c r="G78" s="346">
        <f>SUM(G63:G77)</f>
        <v>6766.4887142857142</v>
      </c>
      <c r="H78" s="168"/>
      <c r="I78" s="168"/>
      <c r="J78" s="168"/>
    </row>
    <row r="79" spans="1:17" ht="13.8" thickTop="1" x14ac:dyDescent="0.25">
      <c r="A79" s="23"/>
      <c r="B79" s="170"/>
      <c r="C79" s="170"/>
      <c r="D79" s="24"/>
      <c r="E79" s="148">
        <f>+E74+E71+E68+662.29-27.86</f>
        <v>5809.4600000000009</v>
      </c>
      <c r="F79" s="349">
        <v>483.33</v>
      </c>
    </row>
    <row r="80" spans="1:17" x14ac:dyDescent="0.25">
      <c r="A80" s="23"/>
      <c r="B80" s="170"/>
      <c r="C80" s="170"/>
      <c r="D80" s="390" t="s">
        <v>131</v>
      </c>
      <c r="E80" s="163">
        <f>4383.36+662.29-27.86</f>
        <v>5017.79</v>
      </c>
      <c r="F80" s="164" t="s">
        <v>131</v>
      </c>
      <c r="G80" s="3" t="s">
        <v>131</v>
      </c>
      <c r="I80" s="173"/>
      <c r="J80" s="172"/>
      <c r="K80" s="174">
        <f>475.31*60%</f>
        <v>285.18599999999998</v>
      </c>
    </row>
    <row r="81" spans="4:15" x14ac:dyDescent="0.25">
      <c r="D81" s="164" t="s">
        <v>314</v>
      </c>
      <c r="E81" s="390">
        <f>+E80-E79</f>
        <v>-791.67000000000098</v>
      </c>
      <c r="F81" s="164" t="s">
        <v>314</v>
      </c>
      <c r="I81" s="195">
        <f>1750+25-1650</f>
        <v>125</v>
      </c>
    </row>
    <row r="84" spans="4:15" x14ac:dyDescent="0.25">
      <c r="O84" s="195">
        <f>+O83*40%</f>
        <v>0</v>
      </c>
    </row>
    <row r="85" spans="4:15" x14ac:dyDescent="0.25">
      <c r="O85" s="195">
        <f>+O84/3</f>
        <v>0</v>
      </c>
    </row>
    <row r="93" spans="4:15" ht="10.199999999999999" x14ac:dyDescent="0.2">
      <c r="F93" s="195"/>
      <c r="G93" s="195"/>
    </row>
    <row r="94" spans="4:15" ht="10.199999999999999" x14ac:dyDescent="0.2">
      <c r="F94" s="195"/>
      <c r="G94" s="195"/>
    </row>
    <row r="95" spans="4:15" ht="10.199999999999999" x14ac:dyDescent="0.2">
      <c r="F95" s="195"/>
      <c r="G95" s="195"/>
    </row>
  </sheetData>
  <pageMargins left="0.74803149606299213" right="0.74803149606299213" top="0.98425196850393704" bottom="0.98425196850393704" header="0.51181102362204722" footer="0.51181102362204722"/>
  <pageSetup paperSize="9" scale="96" orientation="landscape" horizontalDpi="1200" r:id="rId1"/>
  <headerFooter alignWithMargins="0">
    <oddHeader>&amp;LMCMO &amp;C&amp;A&amp;R&amp;D &amp;T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/>
  <dimension ref="A1:H29"/>
  <sheetViews>
    <sheetView view="pageBreakPreview" zoomScaleNormal="100" zoomScaleSheetLayoutView="100" workbookViewId="0">
      <selection activeCell="Z10" sqref="Z10"/>
    </sheetView>
  </sheetViews>
  <sheetFormatPr defaultColWidth="9.109375" defaultRowHeight="14.4" x14ac:dyDescent="0.3"/>
  <cols>
    <col min="1" max="1" width="27.88671875" style="188" customWidth="1"/>
    <col min="2" max="2" width="19.33203125" style="188" customWidth="1"/>
    <col min="3" max="3" width="14.5546875" style="188" customWidth="1"/>
    <col min="4" max="4" width="16.44140625" style="188" customWidth="1"/>
    <col min="5" max="5" width="36" style="188" customWidth="1"/>
    <col min="6" max="16384" width="9.109375" style="188"/>
  </cols>
  <sheetData>
    <row r="1" spans="1:8" ht="15" thickBot="1" x14ac:dyDescent="0.35">
      <c r="A1" s="209" t="s">
        <v>155</v>
      </c>
      <c r="B1" s="210"/>
      <c r="C1" s="187"/>
      <c r="D1" s="392" t="str">
        <f>+'Mgt account 15-16'!D1</f>
        <v>Mar 16</v>
      </c>
    </row>
    <row r="2" spans="1:8" s="191" customFormat="1" ht="15" thickBot="1" x14ac:dyDescent="0.35">
      <c r="A2" s="318"/>
      <c r="B2" s="319" t="s">
        <v>319</v>
      </c>
      <c r="C2" s="319" t="s">
        <v>315</v>
      </c>
      <c r="D2" s="320" t="s">
        <v>205</v>
      </c>
      <c r="E2" s="321"/>
    </row>
    <row r="3" spans="1:8" x14ac:dyDescent="0.3">
      <c r="A3" s="322" t="s">
        <v>122</v>
      </c>
      <c r="B3" s="323">
        <f>+'Mgt account 15-16'!C170</f>
        <v>111523.99723928446</v>
      </c>
      <c r="C3" s="323">
        <f>+'Mgt account 15-16'!D170</f>
        <v>111523.99723928446</v>
      </c>
      <c r="D3" s="323">
        <f>+'Mgt account 15-16'!E170</f>
        <v>114067.93000000001</v>
      </c>
      <c r="E3" s="324"/>
    </row>
    <row r="4" spans="1:8" x14ac:dyDescent="0.3">
      <c r="A4" s="325" t="s">
        <v>123</v>
      </c>
      <c r="B4" s="326">
        <f>+'Mgt account 15-16'!C172</f>
        <v>26350</v>
      </c>
      <c r="C4" s="326">
        <f>+'Mgt account 15-16'!D172</f>
        <v>26350</v>
      </c>
      <c r="D4" s="326">
        <f>+'Mgt account 15-16'!E172</f>
        <v>30546.649999999994</v>
      </c>
      <c r="E4" s="324"/>
    </row>
    <row r="5" spans="1:8" x14ac:dyDescent="0.3">
      <c r="A5" s="325" t="s">
        <v>124</v>
      </c>
      <c r="B5" s="326">
        <f>+'Mgt account 15-16'!C173</f>
        <v>20340</v>
      </c>
      <c r="C5" s="326">
        <f>+'Mgt account 15-16'!D173</f>
        <v>20340</v>
      </c>
      <c r="D5" s="326">
        <f>+'Mgt account 15-16'!E173</f>
        <v>18839.769999999997</v>
      </c>
      <c r="E5" s="324"/>
      <c r="G5" s="188" t="s">
        <v>305</v>
      </c>
      <c r="H5" s="188" t="s">
        <v>306</v>
      </c>
    </row>
    <row r="6" spans="1:8" x14ac:dyDescent="0.3">
      <c r="A6" s="325" t="s">
        <v>125</v>
      </c>
      <c r="B6" s="326">
        <f>+'Mgt account 15-16'!C176</f>
        <v>16300</v>
      </c>
      <c r="C6" s="326">
        <f>+'Mgt account 15-16'!D176</f>
        <v>16300</v>
      </c>
      <c r="D6" s="326">
        <f>+'Mgt account 15-16'!E176</f>
        <v>22391.07</v>
      </c>
      <c r="E6" s="324"/>
    </row>
    <row r="7" spans="1:8" x14ac:dyDescent="0.3">
      <c r="A7" s="325" t="s">
        <v>126</v>
      </c>
      <c r="B7" s="326">
        <f>+'Mgt account 15-16'!C178</f>
        <v>0</v>
      </c>
      <c r="C7" s="326">
        <f>+'Mgt account 15-16'!D178</f>
        <v>0</v>
      </c>
      <c r="D7" s="326">
        <f>+'Mgt account 15-16'!E178</f>
        <v>2180</v>
      </c>
      <c r="E7" s="324"/>
    </row>
    <row r="8" spans="1:8" ht="15" thickBot="1" x14ac:dyDescent="0.35">
      <c r="A8" s="327" t="s">
        <v>147</v>
      </c>
      <c r="B8" s="328">
        <f>+'Mgt account 15-16'!C180</f>
        <v>45471.317175789583</v>
      </c>
      <c r="C8" s="328">
        <f>+'Mgt account 15-16'!D180</f>
        <v>45471.317175789583</v>
      </c>
      <c r="D8" s="328">
        <f>+'Mgt account 15-16'!E180</f>
        <v>50615.26</v>
      </c>
      <c r="E8" s="324"/>
    </row>
    <row r="9" spans="1:8" ht="15" thickBot="1" x14ac:dyDescent="0.35">
      <c r="A9" s="329" t="s">
        <v>127</v>
      </c>
      <c r="B9" s="330">
        <f>B3-B4-B5-B6-B7-B8</f>
        <v>3062.6800634948813</v>
      </c>
      <c r="C9" s="330">
        <f>C3-C4-C5-C6-C7-C8</f>
        <v>3062.6800634948813</v>
      </c>
      <c r="D9" s="330">
        <f>D3-D4-D5-D6-D7-D8</f>
        <v>-10504.819999999985</v>
      </c>
      <c r="E9" s="331"/>
    </row>
    <row r="29" ht="44.25" customHeight="1" x14ac:dyDescent="0.3"/>
  </sheetData>
  <conditionalFormatting sqref="D1">
    <cfRule type="cellIs" dxfId="15" priority="1" stopIfTrue="1" operator="lessThan">
      <formula>0</formula>
    </cfRule>
  </conditionalFormatting>
  <pageMargins left="0.7" right="0.7" top="0.75" bottom="0.75" header="0.3" footer="0.3"/>
  <pageSetup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indexed="33"/>
  </sheetPr>
  <dimension ref="A1:Z241"/>
  <sheetViews>
    <sheetView view="pageBreakPreview" topLeftCell="A166" zoomScaleNormal="100" zoomScaleSheetLayoutView="75" workbookViewId="0">
      <selection activeCell="Z10" sqref="Z10"/>
    </sheetView>
  </sheetViews>
  <sheetFormatPr defaultColWidth="9.109375" defaultRowHeight="14.4" x14ac:dyDescent="0.3"/>
  <cols>
    <col min="1" max="1" width="36.44140625" style="212" bestFit="1" customWidth="1"/>
    <col min="2" max="2" width="9.44140625" style="210" customWidth="1"/>
    <col min="3" max="3" width="15.5546875" style="187" customWidth="1"/>
    <col min="4" max="4" width="15.44140625" style="188" customWidth="1"/>
    <col min="5" max="5" width="15.5546875" style="188" customWidth="1"/>
    <col min="6" max="6" width="13.5546875" style="188" customWidth="1"/>
    <col min="7" max="7" width="13.109375" style="188" customWidth="1"/>
    <col min="8" max="8" width="11.44140625" style="188" customWidth="1"/>
    <col min="9" max="9" width="11.88671875" style="188" customWidth="1"/>
    <col min="10" max="10" width="10.33203125" style="188" customWidth="1"/>
    <col min="11" max="11" width="15.5546875" style="188" customWidth="1"/>
    <col min="12" max="12" width="10.33203125" style="188" customWidth="1"/>
    <col min="13" max="13" width="9.33203125" style="188" customWidth="1"/>
    <col min="14" max="14" width="11.33203125" style="188" customWidth="1"/>
    <col min="15" max="18" width="9.109375" style="188" customWidth="1"/>
    <col min="19" max="19" width="5" style="210" customWidth="1"/>
    <col min="20" max="20" width="12.5546875" style="187" customWidth="1"/>
    <col min="21" max="21" width="12.5546875" style="188" customWidth="1"/>
    <col min="22" max="22" width="10.33203125" style="188" customWidth="1"/>
    <col min="23" max="26" width="9.109375" style="188" customWidth="1"/>
    <col min="27" max="16384" width="9.109375" style="188"/>
  </cols>
  <sheetData>
    <row r="1" spans="1:21" ht="15" thickBot="1" x14ac:dyDescent="0.35">
      <c r="A1" s="209" t="s">
        <v>155</v>
      </c>
      <c r="D1" s="211" t="s">
        <v>414</v>
      </c>
    </row>
    <row r="2" spans="1:21" ht="15" thickBot="1" x14ac:dyDescent="0.35">
      <c r="D2" s="213" t="s">
        <v>406</v>
      </c>
    </row>
    <row r="3" spans="1:21" ht="29.4" thickBot="1" x14ac:dyDescent="0.35">
      <c r="A3" s="214" t="s">
        <v>1</v>
      </c>
      <c r="B3" s="215" t="s">
        <v>2</v>
      </c>
      <c r="C3" s="216" t="s">
        <v>321</v>
      </c>
      <c r="D3" s="217" t="s">
        <v>213</v>
      </c>
      <c r="E3" s="217" t="s">
        <v>182</v>
      </c>
      <c r="F3" s="218" t="s">
        <v>214</v>
      </c>
      <c r="G3" s="219" t="s">
        <v>215</v>
      </c>
      <c r="K3" s="188" t="s">
        <v>303</v>
      </c>
      <c r="S3" s="215"/>
      <c r="T3" s="192" t="s">
        <v>284</v>
      </c>
      <c r="U3" s="189" t="s">
        <v>283</v>
      </c>
    </row>
    <row r="4" spans="1:21" ht="15" thickBot="1" x14ac:dyDescent="0.35">
      <c r="A4" s="220" t="s">
        <v>3</v>
      </c>
      <c r="B4" s="221"/>
      <c r="C4" s="222"/>
      <c r="D4" s="217"/>
      <c r="E4" s="222"/>
      <c r="F4" s="222"/>
      <c r="G4" s="223"/>
      <c r="K4" s="224"/>
      <c r="S4" s="225"/>
    </row>
    <row r="5" spans="1:21" x14ac:dyDescent="0.3">
      <c r="A5" s="226" t="s">
        <v>276</v>
      </c>
      <c r="B5" s="227">
        <v>4000</v>
      </c>
      <c r="C5" s="398">
        <v>18259.486088000001</v>
      </c>
      <c r="D5" s="228">
        <f t="shared" ref="D5:D24" si="0">C5/H5*I5</f>
        <v>18259.486088000001</v>
      </c>
      <c r="E5" s="228">
        <v>22285.06</v>
      </c>
      <c r="F5" s="229">
        <f>+E5-C5</f>
        <v>4025.5739119999998</v>
      </c>
      <c r="G5" s="230">
        <f t="shared" ref="G5:G24" si="1">+E5-D5</f>
        <v>4025.5739119999998</v>
      </c>
      <c r="H5" s="188">
        <v>12</v>
      </c>
      <c r="I5" s="188">
        <v>12</v>
      </c>
      <c r="K5" s="224">
        <v>17204.551149724968</v>
      </c>
      <c r="L5" s="231">
        <f t="shared" ref="L5:L26" si="2">+C5-K5</f>
        <v>1054.9349382750333</v>
      </c>
      <c r="S5" s="232">
        <v>4000</v>
      </c>
      <c r="T5" s="233">
        <v>8463.5400000000009</v>
      </c>
      <c r="U5" s="234">
        <f t="shared" ref="U5:U26" si="3">E5-T5</f>
        <v>13821.52</v>
      </c>
    </row>
    <row r="6" spans="1:21" x14ac:dyDescent="0.3">
      <c r="A6" s="235" t="s">
        <v>5</v>
      </c>
      <c r="B6" s="236"/>
      <c r="C6" s="398">
        <v>0</v>
      </c>
      <c r="D6" s="228">
        <f t="shared" si="0"/>
        <v>0</v>
      </c>
      <c r="E6" s="228">
        <v>0</v>
      </c>
      <c r="F6" s="229">
        <f t="shared" ref="F6:F24" si="4">+E6-C6</f>
        <v>0</v>
      </c>
      <c r="G6" s="230">
        <f t="shared" si="1"/>
        <v>0</v>
      </c>
      <c r="H6" s="188">
        <v>12</v>
      </c>
      <c r="I6" s="188">
        <f t="shared" ref="I6:I12" si="5">I5</f>
        <v>12</v>
      </c>
      <c r="K6" s="224">
        <v>0</v>
      </c>
      <c r="L6" s="231">
        <f t="shared" si="2"/>
        <v>0</v>
      </c>
      <c r="S6" s="236"/>
      <c r="T6" s="233">
        <v>0</v>
      </c>
      <c r="U6" s="234">
        <f t="shared" si="3"/>
        <v>0</v>
      </c>
    </row>
    <row r="7" spans="1:21" x14ac:dyDescent="0.3">
      <c r="A7" s="235" t="s">
        <v>6</v>
      </c>
      <c r="B7" s="236">
        <v>4002</v>
      </c>
      <c r="C7" s="398">
        <v>4233.5395760000001</v>
      </c>
      <c r="D7" s="228">
        <f t="shared" si="0"/>
        <v>4233.5395760000001</v>
      </c>
      <c r="E7" s="228">
        <v>4233.5200000000004</v>
      </c>
      <c r="F7" s="229">
        <f t="shared" si="4"/>
        <v>-1.9575999999688065E-2</v>
      </c>
      <c r="G7" s="230">
        <f t="shared" si="1"/>
        <v>-1.9575999999688065E-2</v>
      </c>
      <c r="H7" s="188">
        <v>12</v>
      </c>
      <c r="I7" s="188">
        <f t="shared" si="5"/>
        <v>12</v>
      </c>
      <c r="K7" s="224">
        <v>4215.5476334775794</v>
      </c>
      <c r="L7" s="231">
        <f t="shared" si="2"/>
        <v>17.991942522420686</v>
      </c>
      <c r="S7" s="236">
        <v>4002</v>
      </c>
      <c r="T7" s="233">
        <v>1962.3</v>
      </c>
      <c r="U7" s="234">
        <f t="shared" si="3"/>
        <v>2271.2200000000003</v>
      </c>
    </row>
    <row r="8" spans="1:21" x14ac:dyDescent="0.3">
      <c r="A8" s="235" t="s">
        <v>7</v>
      </c>
      <c r="B8" s="236">
        <v>4003</v>
      </c>
      <c r="C8" s="398">
        <v>30600.367736000004</v>
      </c>
      <c r="D8" s="228">
        <f t="shared" si="0"/>
        <v>30600.367736</v>
      </c>
      <c r="E8" s="228">
        <v>30600.36</v>
      </c>
      <c r="F8" s="229">
        <f t="shared" si="4"/>
        <v>-7.7360000032058451E-3</v>
      </c>
      <c r="G8" s="230">
        <f t="shared" si="1"/>
        <v>-7.7359999995678663E-3</v>
      </c>
      <c r="H8" s="188">
        <v>12</v>
      </c>
      <c r="I8" s="188">
        <f t="shared" si="5"/>
        <v>12</v>
      </c>
      <c r="K8" s="224">
        <v>24163.545735402495</v>
      </c>
      <c r="L8" s="231">
        <f t="shared" si="2"/>
        <v>6436.822000597509</v>
      </c>
      <c r="S8" s="236">
        <v>4003</v>
      </c>
      <c r="T8" s="233">
        <v>14183.72</v>
      </c>
      <c r="U8" s="234">
        <f t="shared" si="3"/>
        <v>16416.64</v>
      </c>
    </row>
    <row r="9" spans="1:21" x14ac:dyDescent="0.3">
      <c r="A9" s="235" t="s">
        <v>8</v>
      </c>
      <c r="B9" s="236">
        <v>4004</v>
      </c>
      <c r="C9" s="398">
        <v>0</v>
      </c>
      <c r="D9" s="228">
        <f t="shared" si="0"/>
        <v>0</v>
      </c>
      <c r="E9" s="228">
        <v>0</v>
      </c>
      <c r="F9" s="229">
        <f t="shared" si="4"/>
        <v>0</v>
      </c>
      <c r="G9" s="230">
        <f t="shared" si="1"/>
        <v>0</v>
      </c>
      <c r="H9" s="188">
        <v>12</v>
      </c>
      <c r="I9" s="188">
        <f t="shared" si="5"/>
        <v>12</v>
      </c>
      <c r="K9" s="224">
        <v>0</v>
      </c>
      <c r="L9" s="231">
        <f t="shared" si="2"/>
        <v>0</v>
      </c>
      <c r="S9" s="236">
        <v>4004</v>
      </c>
      <c r="T9" s="233">
        <v>0</v>
      </c>
      <c r="U9" s="234">
        <f t="shared" si="3"/>
        <v>0</v>
      </c>
    </row>
    <row r="10" spans="1:21" x14ac:dyDescent="0.3">
      <c r="A10" s="235" t="s">
        <v>273</v>
      </c>
      <c r="B10" s="236">
        <v>4005</v>
      </c>
      <c r="C10" s="398">
        <v>10392.173016000001</v>
      </c>
      <c r="D10" s="228">
        <f t="shared" si="0"/>
        <v>10392.173016000001</v>
      </c>
      <c r="E10" s="228">
        <v>10392.200000000001</v>
      </c>
      <c r="F10" s="229">
        <f t="shared" si="4"/>
        <v>2.6984000000084052E-2</v>
      </c>
      <c r="G10" s="230">
        <f t="shared" si="1"/>
        <v>2.6984000000084052E-2</v>
      </c>
      <c r="H10" s="188">
        <v>12</v>
      </c>
      <c r="I10" s="188">
        <f t="shared" si="5"/>
        <v>12</v>
      </c>
      <c r="K10" s="224">
        <v>9769.4801710455413</v>
      </c>
      <c r="L10" s="231">
        <f t="shared" si="2"/>
        <v>622.69284495445936</v>
      </c>
      <c r="S10" s="236">
        <v>4005</v>
      </c>
      <c r="T10" s="233">
        <v>4816.92</v>
      </c>
      <c r="U10" s="234">
        <f t="shared" si="3"/>
        <v>5575.2800000000007</v>
      </c>
    </row>
    <row r="11" spans="1:21" x14ac:dyDescent="0.3">
      <c r="A11" s="235" t="s">
        <v>10</v>
      </c>
      <c r="B11" s="236">
        <v>4006</v>
      </c>
      <c r="C11" s="398">
        <v>0</v>
      </c>
      <c r="D11" s="228">
        <f t="shared" si="0"/>
        <v>0</v>
      </c>
      <c r="E11" s="228">
        <v>0</v>
      </c>
      <c r="F11" s="229">
        <f t="shared" si="4"/>
        <v>0</v>
      </c>
      <c r="G11" s="230">
        <f t="shared" si="1"/>
        <v>0</v>
      </c>
      <c r="H11" s="188">
        <v>12</v>
      </c>
      <c r="I11" s="188">
        <f t="shared" si="5"/>
        <v>12</v>
      </c>
      <c r="K11" s="224">
        <v>0</v>
      </c>
      <c r="L11" s="231">
        <f t="shared" si="2"/>
        <v>0</v>
      </c>
      <c r="S11" s="236">
        <v>4006</v>
      </c>
      <c r="T11" s="233">
        <v>0</v>
      </c>
      <c r="U11" s="234">
        <f t="shared" si="3"/>
        <v>0</v>
      </c>
    </row>
    <row r="12" spans="1:21" x14ac:dyDescent="0.3">
      <c r="A12" s="235" t="s">
        <v>274</v>
      </c>
      <c r="B12" s="236">
        <v>4007</v>
      </c>
      <c r="C12" s="398">
        <v>0</v>
      </c>
      <c r="D12" s="228">
        <f t="shared" si="0"/>
        <v>0</v>
      </c>
      <c r="E12" s="228">
        <v>0</v>
      </c>
      <c r="F12" s="229">
        <f t="shared" si="4"/>
        <v>0</v>
      </c>
      <c r="G12" s="230">
        <f t="shared" si="1"/>
        <v>0</v>
      </c>
      <c r="H12" s="188">
        <v>12</v>
      </c>
      <c r="I12" s="188">
        <f t="shared" si="5"/>
        <v>12</v>
      </c>
      <c r="K12" s="224">
        <v>0</v>
      </c>
      <c r="L12" s="231">
        <f t="shared" si="2"/>
        <v>0</v>
      </c>
      <c r="S12" s="236">
        <v>4007</v>
      </c>
      <c r="T12" s="233">
        <v>0</v>
      </c>
      <c r="U12" s="234">
        <f t="shared" si="3"/>
        <v>0</v>
      </c>
    </row>
    <row r="13" spans="1:21" x14ac:dyDescent="0.3">
      <c r="A13" s="235" t="s">
        <v>275</v>
      </c>
      <c r="B13" s="236">
        <v>4021</v>
      </c>
      <c r="C13" s="398">
        <v>3956.0212692135851</v>
      </c>
      <c r="D13" s="228">
        <f t="shared" si="0"/>
        <v>3956.0212692135851</v>
      </c>
      <c r="E13" s="228">
        <v>4980.3999999999996</v>
      </c>
      <c r="F13" s="229">
        <f t="shared" si="4"/>
        <v>1024.3787307864145</v>
      </c>
      <c r="G13" s="230">
        <f t="shared" si="1"/>
        <v>1024.3787307864145</v>
      </c>
      <c r="H13" s="188">
        <v>12</v>
      </c>
      <c r="I13" s="202">
        <v>12</v>
      </c>
      <c r="K13" s="224">
        <v>2571.5949147600004</v>
      </c>
      <c r="L13" s="231">
        <f t="shared" si="2"/>
        <v>1384.4263544535847</v>
      </c>
      <c r="M13" s="231" t="s">
        <v>131</v>
      </c>
      <c r="S13" s="236">
        <v>4021</v>
      </c>
      <c r="T13" s="233">
        <v>0</v>
      </c>
      <c r="U13" s="234">
        <f t="shared" si="3"/>
        <v>4980.3999999999996</v>
      </c>
    </row>
    <row r="14" spans="1:21" x14ac:dyDescent="0.3">
      <c r="A14" s="235" t="s">
        <v>12</v>
      </c>
      <c r="B14" s="236">
        <v>4025</v>
      </c>
      <c r="C14" s="398">
        <v>3956.0212692135851</v>
      </c>
      <c r="D14" s="228">
        <f t="shared" si="0"/>
        <v>3956.0212692135851</v>
      </c>
      <c r="E14" s="228">
        <v>5360.38</v>
      </c>
      <c r="F14" s="229">
        <f t="shared" si="4"/>
        <v>1404.358730786415</v>
      </c>
      <c r="G14" s="230">
        <f t="shared" si="1"/>
        <v>1404.358730786415</v>
      </c>
      <c r="H14" s="188">
        <v>12</v>
      </c>
      <c r="I14" s="202">
        <v>12</v>
      </c>
      <c r="K14" s="224">
        <v>2571.5949147600004</v>
      </c>
      <c r="L14" s="231">
        <f t="shared" si="2"/>
        <v>1384.4263544535847</v>
      </c>
      <c r="S14" s="236">
        <v>4025</v>
      </c>
      <c r="T14" s="233">
        <v>0</v>
      </c>
      <c r="U14" s="234">
        <f t="shared" si="3"/>
        <v>5360.38</v>
      </c>
    </row>
    <row r="15" spans="1:21" x14ac:dyDescent="0.3">
      <c r="A15" s="235" t="s">
        <v>13</v>
      </c>
      <c r="B15" s="236">
        <v>4010</v>
      </c>
      <c r="C15" s="398">
        <v>38002.039708857301</v>
      </c>
      <c r="D15" s="228">
        <f t="shared" si="0"/>
        <v>38002.039708857301</v>
      </c>
      <c r="E15" s="228">
        <v>33858.44</v>
      </c>
      <c r="F15" s="229">
        <f t="shared" si="4"/>
        <v>-4143.5997088572985</v>
      </c>
      <c r="G15" s="230">
        <f t="shared" si="1"/>
        <v>-4143.5997088572985</v>
      </c>
      <c r="H15" s="188">
        <v>12</v>
      </c>
      <c r="I15" s="188">
        <f>I12</f>
        <v>12</v>
      </c>
      <c r="K15" s="224">
        <v>32549.353140602496</v>
      </c>
      <c r="L15" s="231">
        <f t="shared" si="2"/>
        <v>5452.686568254805</v>
      </c>
      <c r="S15" s="236">
        <v>4010</v>
      </c>
      <c r="T15" s="233">
        <v>15693.88</v>
      </c>
      <c r="U15" s="234">
        <f t="shared" si="3"/>
        <v>18164.560000000005</v>
      </c>
    </row>
    <row r="16" spans="1:21" x14ac:dyDescent="0.3">
      <c r="A16" s="235" t="s">
        <v>14</v>
      </c>
      <c r="B16" s="236">
        <v>4030</v>
      </c>
      <c r="C16" s="398">
        <v>0</v>
      </c>
      <c r="D16" s="228">
        <f t="shared" si="0"/>
        <v>0</v>
      </c>
      <c r="E16" s="228">
        <v>0</v>
      </c>
      <c r="F16" s="229">
        <f t="shared" si="4"/>
        <v>0</v>
      </c>
      <c r="G16" s="230">
        <f t="shared" si="1"/>
        <v>0</v>
      </c>
      <c r="H16" s="188">
        <v>12</v>
      </c>
      <c r="I16" s="203">
        <v>12</v>
      </c>
      <c r="K16" s="224">
        <v>100</v>
      </c>
      <c r="L16" s="231">
        <f t="shared" si="2"/>
        <v>-100</v>
      </c>
      <c r="S16" s="236">
        <v>4030</v>
      </c>
      <c r="T16" s="233">
        <v>0</v>
      </c>
      <c r="U16" s="234">
        <f t="shared" si="3"/>
        <v>0</v>
      </c>
    </row>
    <row r="17" spans="1:21" x14ac:dyDescent="0.3">
      <c r="A17" s="235" t="s">
        <v>15</v>
      </c>
      <c r="B17" s="236">
        <v>4040</v>
      </c>
      <c r="C17" s="398">
        <v>0</v>
      </c>
      <c r="D17" s="228">
        <f t="shared" si="0"/>
        <v>0</v>
      </c>
      <c r="E17" s="228">
        <v>0</v>
      </c>
      <c r="F17" s="229">
        <f t="shared" si="4"/>
        <v>0</v>
      </c>
      <c r="G17" s="230">
        <f t="shared" si="1"/>
        <v>0</v>
      </c>
      <c r="H17" s="188">
        <v>12</v>
      </c>
      <c r="I17" s="188">
        <f>+I16</f>
        <v>12</v>
      </c>
      <c r="K17" s="224">
        <v>0</v>
      </c>
      <c r="L17" s="231">
        <f t="shared" si="2"/>
        <v>0</v>
      </c>
      <c r="S17" s="236">
        <v>4040</v>
      </c>
      <c r="T17" s="233">
        <v>0</v>
      </c>
      <c r="U17" s="234">
        <f t="shared" si="3"/>
        <v>0</v>
      </c>
    </row>
    <row r="18" spans="1:21" x14ac:dyDescent="0.3">
      <c r="A18" s="235" t="s">
        <v>16</v>
      </c>
      <c r="B18" s="236">
        <v>4051</v>
      </c>
      <c r="C18" s="398">
        <v>0</v>
      </c>
      <c r="D18" s="228">
        <f t="shared" si="0"/>
        <v>0</v>
      </c>
      <c r="E18" s="228">
        <v>0</v>
      </c>
      <c r="F18" s="229">
        <f t="shared" si="4"/>
        <v>0</v>
      </c>
      <c r="G18" s="230">
        <f t="shared" si="1"/>
        <v>0</v>
      </c>
      <c r="H18" s="188">
        <v>12</v>
      </c>
      <c r="I18" s="188">
        <f t="shared" ref="I18:I24" si="6">I17</f>
        <v>12</v>
      </c>
      <c r="K18" s="224">
        <v>0</v>
      </c>
      <c r="L18" s="231">
        <f t="shared" si="2"/>
        <v>0</v>
      </c>
      <c r="S18" s="236">
        <v>4051</v>
      </c>
      <c r="T18" s="233">
        <v>0</v>
      </c>
      <c r="U18" s="234">
        <f t="shared" si="3"/>
        <v>0</v>
      </c>
    </row>
    <row r="19" spans="1:21" x14ac:dyDescent="0.3">
      <c r="A19" s="235" t="s">
        <v>17</v>
      </c>
      <c r="B19" s="236">
        <v>4060</v>
      </c>
      <c r="C19" s="398">
        <v>0</v>
      </c>
      <c r="D19" s="228">
        <f t="shared" si="0"/>
        <v>0</v>
      </c>
      <c r="E19" s="228">
        <v>0</v>
      </c>
      <c r="F19" s="229">
        <f t="shared" si="4"/>
        <v>0</v>
      </c>
      <c r="G19" s="230">
        <f t="shared" si="1"/>
        <v>0</v>
      </c>
      <c r="H19" s="188">
        <v>12</v>
      </c>
      <c r="I19" s="188">
        <f t="shared" si="6"/>
        <v>12</v>
      </c>
      <c r="K19" s="224">
        <v>0</v>
      </c>
      <c r="L19" s="231">
        <f t="shared" si="2"/>
        <v>0</v>
      </c>
      <c r="S19" s="236">
        <v>4060</v>
      </c>
      <c r="T19" s="233">
        <v>0</v>
      </c>
      <c r="U19" s="234">
        <f t="shared" si="3"/>
        <v>0</v>
      </c>
    </row>
    <row r="20" spans="1:21" x14ac:dyDescent="0.3">
      <c r="A20" s="235" t="s">
        <v>18</v>
      </c>
      <c r="B20" s="236">
        <v>4065</v>
      </c>
      <c r="C20" s="398">
        <v>0</v>
      </c>
      <c r="D20" s="228">
        <f t="shared" si="0"/>
        <v>0</v>
      </c>
      <c r="E20" s="228">
        <v>0</v>
      </c>
      <c r="F20" s="229">
        <f t="shared" si="4"/>
        <v>0</v>
      </c>
      <c r="G20" s="230">
        <f t="shared" si="1"/>
        <v>0</v>
      </c>
      <c r="H20" s="188">
        <v>12</v>
      </c>
      <c r="I20" s="188">
        <f t="shared" si="6"/>
        <v>12</v>
      </c>
      <c r="K20" s="224">
        <v>0</v>
      </c>
      <c r="L20" s="231">
        <f t="shared" si="2"/>
        <v>0</v>
      </c>
      <c r="S20" s="236">
        <v>4065</v>
      </c>
      <c r="T20" s="233">
        <v>0</v>
      </c>
      <c r="U20" s="234">
        <f t="shared" si="3"/>
        <v>0</v>
      </c>
    </row>
    <row r="21" spans="1:21" x14ac:dyDescent="0.3">
      <c r="A21" s="235" t="s">
        <v>19</v>
      </c>
      <c r="B21" s="236">
        <v>4085</v>
      </c>
      <c r="C21" s="398">
        <v>0</v>
      </c>
      <c r="D21" s="228">
        <f t="shared" si="0"/>
        <v>0</v>
      </c>
      <c r="E21" s="228">
        <v>0</v>
      </c>
      <c r="F21" s="229">
        <f t="shared" si="4"/>
        <v>0</v>
      </c>
      <c r="G21" s="230">
        <f t="shared" si="1"/>
        <v>0</v>
      </c>
      <c r="H21" s="188">
        <v>12</v>
      </c>
      <c r="I21" s="188">
        <f t="shared" si="6"/>
        <v>12</v>
      </c>
      <c r="K21" s="224">
        <v>0</v>
      </c>
      <c r="L21" s="231">
        <f t="shared" si="2"/>
        <v>0</v>
      </c>
      <c r="S21" s="236">
        <v>4085</v>
      </c>
      <c r="T21" s="233">
        <v>0</v>
      </c>
      <c r="U21" s="234">
        <f t="shared" si="3"/>
        <v>0</v>
      </c>
    </row>
    <row r="22" spans="1:21" x14ac:dyDescent="0.3">
      <c r="A22" s="235" t="s">
        <v>272</v>
      </c>
      <c r="B22" s="236">
        <v>4090</v>
      </c>
      <c r="C22" s="398">
        <v>2124.3485760000003</v>
      </c>
      <c r="D22" s="228">
        <f t="shared" si="0"/>
        <v>2124.3485760000003</v>
      </c>
      <c r="E22" s="228">
        <v>2357.5700000000002</v>
      </c>
      <c r="F22" s="229">
        <f t="shared" si="4"/>
        <v>233.22142399999984</v>
      </c>
      <c r="G22" s="230">
        <f t="shared" si="1"/>
        <v>233.22142399999984</v>
      </c>
      <c r="H22" s="188">
        <v>12</v>
      </c>
      <c r="I22" s="188">
        <f t="shared" si="6"/>
        <v>12</v>
      </c>
      <c r="K22" s="224">
        <v>2400</v>
      </c>
      <c r="L22" s="231">
        <f t="shared" si="2"/>
        <v>-275.65142399999968</v>
      </c>
      <c r="S22" s="236">
        <v>4090</v>
      </c>
      <c r="T22" s="233">
        <v>1040</v>
      </c>
      <c r="U22" s="234">
        <f t="shared" si="3"/>
        <v>1317.5700000000002</v>
      </c>
    </row>
    <row r="23" spans="1:21" x14ac:dyDescent="0.3">
      <c r="A23" s="235" t="s">
        <v>20</v>
      </c>
      <c r="B23" s="236">
        <v>4095</v>
      </c>
      <c r="C23" s="228">
        <v>0</v>
      </c>
      <c r="D23" s="228">
        <f t="shared" si="0"/>
        <v>0</v>
      </c>
      <c r="E23" s="228">
        <v>0</v>
      </c>
      <c r="F23" s="229">
        <f t="shared" si="4"/>
        <v>0</v>
      </c>
      <c r="G23" s="230">
        <f t="shared" si="1"/>
        <v>0</v>
      </c>
      <c r="H23" s="188">
        <v>12</v>
      </c>
      <c r="I23" s="188">
        <f t="shared" si="6"/>
        <v>12</v>
      </c>
      <c r="K23" s="224">
        <v>0</v>
      </c>
      <c r="L23" s="231">
        <f t="shared" si="2"/>
        <v>0</v>
      </c>
      <c r="S23" s="236">
        <v>4095</v>
      </c>
      <c r="T23" s="233">
        <v>0</v>
      </c>
      <c r="U23" s="234">
        <f t="shared" si="3"/>
        <v>0</v>
      </c>
    </row>
    <row r="24" spans="1:21" ht="15" thickBot="1" x14ac:dyDescent="0.35">
      <c r="A24" s="237" t="s">
        <v>21</v>
      </c>
      <c r="B24" s="238">
        <v>4100</v>
      </c>
      <c r="C24" s="228">
        <v>0</v>
      </c>
      <c r="D24" s="228">
        <f t="shared" si="0"/>
        <v>0</v>
      </c>
      <c r="E24" s="228">
        <v>0</v>
      </c>
      <c r="F24" s="229">
        <f t="shared" si="4"/>
        <v>0</v>
      </c>
      <c r="G24" s="230">
        <f t="shared" si="1"/>
        <v>0</v>
      </c>
      <c r="H24" s="188">
        <v>12</v>
      </c>
      <c r="I24" s="188">
        <f t="shared" si="6"/>
        <v>12</v>
      </c>
      <c r="K24" s="224">
        <v>1500</v>
      </c>
      <c r="L24" s="231">
        <f t="shared" si="2"/>
        <v>-1500</v>
      </c>
      <c r="S24" s="236">
        <v>4100</v>
      </c>
      <c r="T24" s="233">
        <v>0</v>
      </c>
      <c r="U24" s="239">
        <f t="shared" si="3"/>
        <v>0</v>
      </c>
    </row>
    <row r="25" spans="1:21" ht="15" thickBot="1" x14ac:dyDescent="0.35">
      <c r="A25" s="364" t="s">
        <v>22</v>
      </c>
      <c r="B25" s="240"/>
      <c r="C25" s="365">
        <f>SUM(C5:C24)</f>
        <v>111523.99723928446</v>
      </c>
      <c r="D25" s="365">
        <f>SUM(D5:D24)</f>
        <v>111523.99723928446</v>
      </c>
      <c r="E25" s="365">
        <f>SUM(E5:E24)</f>
        <v>114067.93000000001</v>
      </c>
      <c r="F25" s="241">
        <f>SUM(F5:F24)</f>
        <v>2543.9327607155269</v>
      </c>
      <c r="G25" s="242">
        <f>SUM(G5:G24)</f>
        <v>2543.9327607155305</v>
      </c>
      <c r="K25" s="224">
        <v>97045.667659773084</v>
      </c>
      <c r="L25" s="231">
        <f t="shared" si="2"/>
        <v>14478.329579511381</v>
      </c>
      <c r="S25" s="243"/>
      <c r="T25" s="244">
        <f>SUM(T5:T24)</f>
        <v>46160.359999999993</v>
      </c>
      <c r="U25" s="245">
        <f t="shared" si="3"/>
        <v>67907.570000000007</v>
      </c>
    </row>
    <row r="26" spans="1:21" ht="15" thickBot="1" x14ac:dyDescent="0.35">
      <c r="B26" s="189"/>
      <c r="L26" s="231">
        <f t="shared" si="2"/>
        <v>0</v>
      </c>
      <c r="S26" s="189"/>
      <c r="U26" s="190">
        <f t="shared" si="3"/>
        <v>0</v>
      </c>
    </row>
    <row r="27" spans="1:21" ht="29.4" thickBot="1" x14ac:dyDescent="0.35">
      <c r="A27" s="246" t="s">
        <v>160</v>
      </c>
      <c r="B27" s="247" t="s">
        <v>2</v>
      </c>
      <c r="C27" s="248" t="str">
        <f>+C3</f>
        <v>Budget 2015-16</v>
      </c>
      <c r="D27" s="248" t="s">
        <v>213</v>
      </c>
      <c r="E27" s="248" t="s">
        <v>184</v>
      </c>
      <c r="F27" s="248" t="s">
        <v>216</v>
      </c>
      <c r="G27" s="249" t="s">
        <v>215</v>
      </c>
      <c r="H27" s="190">
        <f>+E29+E43</f>
        <v>8101.38</v>
      </c>
      <c r="K27" s="188" t="s">
        <v>303</v>
      </c>
      <c r="L27" s="231" t="s">
        <v>131</v>
      </c>
      <c r="S27" s="250"/>
      <c r="U27" s="190"/>
    </row>
    <row r="28" spans="1:21" x14ac:dyDescent="0.3">
      <c r="A28" s="251" t="s">
        <v>23</v>
      </c>
      <c r="B28" s="252">
        <v>6000</v>
      </c>
      <c r="C28" s="399">
        <v>5800</v>
      </c>
      <c r="D28" s="228">
        <f t="shared" ref="D28:D37" si="7">C28/H28*I28</f>
        <v>5800</v>
      </c>
      <c r="E28" s="228">
        <f>+'Block cost 15-16'!G61</f>
        <v>4198.3900000000003</v>
      </c>
      <c r="F28" s="229">
        <f t="shared" ref="F28:F37" si="8">C28-E28</f>
        <v>1601.6099999999997</v>
      </c>
      <c r="G28" s="230">
        <f t="shared" ref="G28:G37" si="9">D28-E28</f>
        <v>1601.6099999999997</v>
      </c>
      <c r="H28" s="188">
        <v>12</v>
      </c>
      <c r="I28" s="188">
        <f>I24</f>
        <v>12</v>
      </c>
      <c r="K28" s="224">
        <v>5800</v>
      </c>
      <c r="L28" s="231">
        <f t="shared" ref="L28:L38" si="10">+C28-K28</f>
        <v>0</v>
      </c>
      <c r="S28" s="252">
        <v>6000</v>
      </c>
      <c r="T28" s="228">
        <v>1331.94</v>
      </c>
      <c r="U28" s="234">
        <f t="shared" ref="U28:U39" si="11">E28-T28</f>
        <v>2866.4500000000003</v>
      </c>
    </row>
    <row r="29" spans="1:21" x14ac:dyDescent="0.3">
      <c r="A29" s="235" t="s">
        <v>25</v>
      </c>
      <c r="B29" s="253">
        <v>6020</v>
      </c>
      <c r="C29" s="399">
        <v>1000</v>
      </c>
      <c r="D29" s="228">
        <f t="shared" si="7"/>
        <v>1000</v>
      </c>
      <c r="E29" s="228">
        <f>+'Block cost 15-16'!G62</f>
        <v>3669</v>
      </c>
      <c r="F29" s="229">
        <f t="shared" si="8"/>
        <v>-2669</v>
      </c>
      <c r="G29" s="230">
        <f t="shared" si="9"/>
        <v>-2669</v>
      </c>
      <c r="H29" s="188">
        <f t="shared" ref="H29:I35" si="12">H28</f>
        <v>12</v>
      </c>
      <c r="I29" s="188">
        <f t="shared" si="12"/>
        <v>12</v>
      </c>
      <c r="K29" s="224">
        <v>1200</v>
      </c>
      <c r="L29" s="231">
        <f t="shared" si="10"/>
        <v>-200</v>
      </c>
      <c r="S29" s="253">
        <v>6020</v>
      </c>
      <c r="T29" s="233">
        <v>700.3</v>
      </c>
      <c r="U29" s="234">
        <f t="shared" si="11"/>
        <v>2968.7</v>
      </c>
    </row>
    <row r="30" spans="1:21" x14ac:dyDescent="0.3">
      <c r="A30" s="235" t="s">
        <v>27</v>
      </c>
      <c r="B30" s="253">
        <v>6026</v>
      </c>
      <c r="C30" s="399">
        <v>1000</v>
      </c>
      <c r="D30" s="228">
        <f t="shared" si="7"/>
        <v>1000</v>
      </c>
      <c r="E30" s="228">
        <f>+'Block cost 15-16'!G63</f>
        <v>1417</v>
      </c>
      <c r="F30" s="229">
        <f t="shared" si="8"/>
        <v>-417</v>
      </c>
      <c r="G30" s="230">
        <f t="shared" si="9"/>
        <v>-417</v>
      </c>
      <c r="H30" s="188">
        <f t="shared" si="12"/>
        <v>12</v>
      </c>
      <c r="I30" s="188">
        <f t="shared" si="12"/>
        <v>12</v>
      </c>
      <c r="K30" s="224">
        <v>650</v>
      </c>
      <c r="L30" s="231">
        <f t="shared" si="10"/>
        <v>350</v>
      </c>
      <c r="S30" s="253">
        <v>6026</v>
      </c>
      <c r="T30" s="233">
        <v>615</v>
      </c>
      <c r="U30" s="234">
        <f t="shared" si="11"/>
        <v>802</v>
      </c>
    </row>
    <row r="31" spans="1:21" x14ac:dyDescent="0.3">
      <c r="A31" s="235" t="s">
        <v>28</v>
      </c>
      <c r="B31" s="253">
        <v>6027</v>
      </c>
      <c r="C31" s="399">
        <v>300</v>
      </c>
      <c r="D31" s="228">
        <f t="shared" si="7"/>
        <v>300</v>
      </c>
      <c r="E31" s="228">
        <f>+'Block cost 15-16'!D64</f>
        <v>80</v>
      </c>
      <c r="F31" s="229">
        <f t="shared" si="8"/>
        <v>220</v>
      </c>
      <c r="G31" s="230">
        <f t="shared" si="9"/>
        <v>220</v>
      </c>
      <c r="H31" s="188">
        <f t="shared" si="12"/>
        <v>12</v>
      </c>
      <c r="I31" s="188">
        <f t="shared" si="12"/>
        <v>12</v>
      </c>
      <c r="K31" s="224">
        <v>300</v>
      </c>
      <c r="L31" s="231">
        <f t="shared" si="10"/>
        <v>0</v>
      </c>
      <c r="S31" s="253">
        <v>6027</v>
      </c>
      <c r="T31" s="233">
        <v>0</v>
      </c>
      <c r="U31" s="234">
        <f t="shared" si="11"/>
        <v>80</v>
      </c>
    </row>
    <row r="32" spans="1:21" x14ac:dyDescent="0.3">
      <c r="A32" s="235" t="s">
        <v>35</v>
      </c>
      <c r="B32" s="253">
        <v>6060</v>
      </c>
      <c r="C32" s="399">
        <v>300</v>
      </c>
      <c r="D32" s="228">
        <f t="shared" si="7"/>
        <v>300</v>
      </c>
      <c r="E32" s="228">
        <v>0</v>
      </c>
      <c r="F32" s="229">
        <f t="shared" si="8"/>
        <v>300</v>
      </c>
      <c r="G32" s="230">
        <f t="shared" si="9"/>
        <v>300</v>
      </c>
      <c r="H32" s="188">
        <f t="shared" si="12"/>
        <v>12</v>
      </c>
      <c r="I32" s="188">
        <f t="shared" si="12"/>
        <v>12</v>
      </c>
      <c r="K32" s="224">
        <v>300</v>
      </c>
      <c r="L32" s="231">
        <f t="shared" si="10"/>
        <v>0</v>
      </c>
      <c r="S32" s="253">
        <v>6060</v>
      </c>
      <c r="T32" s="233">
        <v>0</v>
      </c>
      <c r="U32" s="234">
        <f t="shared" si="11"/>
        <v>0</v>
      </c>
    </row>
    <row r="33" spans="1:22" x14ac:dyDescent="0.3">
      <c r="A33" s="235" t="s">
        <v>36</v>
      </c>
      <c r="B33" s="253">
        <v>6061</v>
      </c>
      <c r="C33" s="399">
        <v>300</v>
      </c>
      <c r="D33" s="228">
        <f t="shared" si="7"/>
        <v>300</v>
      </c>
      <c r="E33" s="228">
        <f>+'Block cost 15-16'!G66</f>
        <v>180</v>
      </c>
      <c r="F33" s="229">
        <f t="shared" si="8"/>
        <v>120</v>
      </c>
      <c r="G33" s="230">
        <f t="shared" si="9"/>
        <v>120</v>
      </c>
      <c r="H33" s="188">
        <f t="shared" si="12"/>
        <v>12</v>
      </c>
      <c r="I33" s="188">
        <f t="shared" si="12"/>
        <v>12</v>
      </c>
      <c r="K33" s="224">
        <v>300</v>
      </c>
      <c r="L33" s="231">
        <f t="shared" si="10"/>
        <v>0</v>
      </c>
      <c r="S33" s="253">
        <v>6061</v>
      </c>
      <c r="T33" s="233">
        <v>0</v>
      </c>
      <c r="U33" s="234">
        <f t="shared" si="11"/>
        <v>180</v>
      </c>
    </row>
    <row r="34" spans="1:22" x14ac:dyDescent="0.3">
      <c r="A34" s="235" t="s">
        <v>39</v>
      </c>
      <c r="B34" s="253">
        <v>6090</v>
      </c>
      <c r="C34" s="228">
        <v>0</v>
      </c>
      <c r="D34" s="228">
        <f t="shared" si="7"/>
        <v>0</v>
      </c>
      <c r="E34" s="228">
        <v>0</v>
      </c>
      <c r="F34" s="229">
        <f t="shared" si="8"/>
        <v>0</v>
      </c>
      <c r="G34" s="230">
        <f t="shared" si="9"/>
        <v>0</v>
      </c>
      <c r="H34" s="188">
        <f t="shared" si="12"/>
        <v>12</v>
      </c>
      <c r="I34" s="188">
        <f t="shared" si="12"/>
        <v>12</v>
      </c>
      <c r="K34" s="224">
        <v>0</v>
      </c>
      <c r="L34" s="231">
        <f t="shared" si="10"/>
        <v>0</v>
      </c>
      <c r="S34" s="253">
        <v>6090</v>
      </c>
      <c r="T34" s="233">
        <v>0</v>
      </c>
      <c r="U34" s="234">
        <f t="shared" si="11"/>
        <v>0</v>
      </c>
    </row>
    <row r="35" spans="1:22" x14ac:dyDescent="0.3">
      <c r="A35" s="235" t="s">
        <v>34</v>
      </c>
      <c r="B35" s="253">
        <v>6040</v>
      </c>
      <c r="C35" s="228">
        <v>0</v>
      </c>
      <c r="D35" s="228">
        <f t="shared" si="7"/>
        <v>0</v>
      </c>
      <c r="E35" s="228">
        <f>+'Block cost 15-16'!G68</f>
        <v>0</v>
      </c>
      <c r="F35" s="229">
        <f t="shared" si="8"/>
        <v>0</v>
      </c>
      <c r="G35" s="230">
        <f t="shared" si="9"/>
        <v>0</v>
      </c>
      <c r="H35" s="188">
        <f t="shared" si="12"/>
        <v>12</v>
      </c>
      <c r="I35" s="188">
        <f t="shared" si="12"/>
        <v>12</v>
      </c>
      <c r="K35" s="224">
        <v>0</v>
      </c>
      <c r="L35" s="231">
        <f t="shared" si="10"/>
        <v>0</v>
      </c>
      <c r="S35" s="253">
        <v>6040</v>
      </c>
      <c r="T35" s="233">
        <v>0</v>
      </c>
      <c r="U35" s="234">
        <f t="shared" si="11"/>
        <v>0</v>
      </c>
    </row>
    <row r="36" spans="1:22" x14ac:dyDescent="0.3">
      <c r="A36" s="235" t="s">
        <v>42</v>
      </c>
      <c r="B36" s="236">
        <v>6140</v>
      </c>
      <c r="C36" s="228">
        <v>500</v>
      </c>
      <c r="D36" s="228">
        <f t="shared" si="7"/>
        <v>500</v>
      </c>
      <c r="E36" s="233">
        <f>+'Block cost 15-16'!C69</f>
        <v>61.96</v>
      </c>
      <c r="F36" s="229">
        <f t="shared" si="8"/>
        <v>438.04</v>
      </c>
      <c r="G36" s="230">
        <f t="shared" si="9"/>
        <v>438.04</v>
      </c>
      <c r="H36" s="188">
        <v>12</v>
      </c>
      <c r="I36" s="188">
        <f>+I35</f>
        <v>12</v>
      </c>
      <c r="K36" s="224"/>
      <c r="L36" s="231"/>
      <c r="S36" s="236">
        <v>6140</v>
      </c>
      <c r="T36" s="187">
        <v>334.2</v>
      </c>
      <c r="U36" s="234">
        <f t="shared" si="11"/>
        <v>-272.24</v>
      </c>
    </row>
    <row r="37" spans="1:22" ht="15" thickBot="1" x14ac:dyDescent="0.35">
      <c r="A37" s="235" t="s">
        <v>50</v>
      </c>
      <c r="B37" s="236">
        <v>6175</v>
      </c>
      <c r="C37" s="228">
        <v>900</v>
      </c>
      <c r="D37" s="228">
        <f t="shared" si="7"/>
        <v>900</v>
      </c>
      <c r="E37" s="233">
        <f>+'Block cost 15-16'!G70</f>
        <v>966</v>
      </c>
      <c r="F37" s="229">
        <f t="shared" si="8"/>
        <v>-66</v>
      </c>
      <c r="G37" s="230">
        <f t="shared" si="9"/>
        <v>-66</v>
      </c>
      <c r="H37" s="188">
        <v>12</v>
      </c>
      <c r="I37" s="188">
        <f>+I36</f>
        <v>12</v>
      </c>
      <c r="K37" s="224"/>
      <c r="L37" s="231"/>
      <c r="S37" s="236">
        <v>6175</v>
      </c>
      <c r="T37" s="187">
        <v>815.22</v>
      </c>
      <c r="U37" s="234">
        <f t="shared" si="11"/>
        <v>150.77999999999997</v>
      </c>
    </row>
    <row r="38" spans="1:22" ht="15" thickBot="1" x14ac:dyDescent="0.35">
      <c r="A38" s="254" t="s">
        <v>60</v>
      </c>
      <c r="B38" s="255"/>
      <c r="C38" s="256">
        <f>SUM(C28:C37)</f>
        <v>10100</v>
      </c>
      <c r="D38" s="256">
        <f>SUM(D28:D37)</f>
        <v>10100</v>
      </c>
      <c r="E38" s="256">
        <f>SUM(E28:E37)</f>
        <v>10572.349999999999</v>
      </c>
      <c r="F38" s="256">
        <f>SUM(F28:F37)</f>
        <v>-472.35000000000031</v>
      </c>
      <c r="G38" s="256">
        <f>SUM(G28:G37)</f>
        <v>-472.35000000000031</v>
      </c>
      <c r="K38" s="224">
        <v>8550</v>
      </c>
      <c r="L38" s="231">
        <f t="shared" si="10"/>
        <v>1550</v>
      </c>
      <c r="S38" s="255"/>
      <c r="T38" s="244">
        <f>SUM(T28:T35)</f>
        <v>2647.24</v>
      </c>
      <c r="U38" s="245">
        <f t="shared" si="11"/>
        <v>7925.1099999999988</v>
      </c>
    </row>
    <row r="39" spans="1:22" ht="15" thickBot="1" x14ac:dyDescent="0.35">
      <c r="B39" s="189"/>
      <c r="C39" s="187" t="s">
        <v>131</v>
      </c>
      <c r="E39" s="190" t="s">
        <v>131</v>
      </c>
      <c r="F39" s="190" t="s">
        <v>131</v>
      </c>
      <c r="H39" s="190" t="s">
        <v>131</v>
      </c>
      <c r="I39" s="190"/>
      <c r="J39" s="190"/>
      <c r="K39" s="188" t="s">
        <v>131</v>
      </c>
      <c r="L39" s="231" t="s">
        <v>131</v>
      </c>
      <c r="S39" s="189"/>
      <c r="U39" s="190" t="e">
        <f t="shared" si="11"/>
        <v>#VALUE!</v>
      </c>
    </row>
    <row r="40" spans="1:22" ht="29.4" thickBot="1" x14ac:dyDescent="0.35">
      <c r="A40" s="364" t="s">
        <v>170</v>
      </c>
      <c r="B40" s="366" t="s">
        <v>2</v>
      </c>
      <c r="C40" s="241" t="str">
        <f>+C27</f>
        <v>Budget 2015-16</v>
      </c>
      <c r="D40" s="241" t="s">
        <v>213</v>
      </c>
      <c r="E40" s="241" t="s">
        <v>184</v>
      </c>
      <c r="F40" s="241" t="s">
        <v>216</v>
      </c>
      <c r="G40" s="367" t="s">
        <v>215</v>
      </c>
      <c r="H40" s="190" t="s">
        <v>131</v>
      </c>
      <c r="K40" s="188" t="s">
        <v>303</v>
      </c>
      <c r="L40" s="231" t="s">
        <v>131</v>
      </c>
      <c r="S40" s="257"/>
      <c r="U40" s="190"/>
    </row>
    <row r="41" spans="1:22" x14ac:dyDescent="0.3">
      <c r="A41" s="251" t="s">
        <v>178</v>
      </c>
      <c r="B41" s="252">
        <v>6000</v>
      </c>
      <c r="C41" s="395">
        <v>3000</v>
      </c>
      <c r="D41" s="228">
        <f t="shared" ref="D41:D55" si="13">C41/H41*I41</f>
        <v>3000</v>
      </c>
      <c r="E41" s="228">
        <f>+'Block cost 15-16'!E61</f>
        <v>2099.19</v>
      </c>
      <c r="F41" s="229">
        <f t="shared" ref="F41:F77" si="14">C41-E41</f>
        <v>900.81</v>
      </c>
      <c r="G41" s="230">
        <f t="shared" ref="G41:G77" si="15">D41-E41</f>
        <v>900.81</v>
      </c>
      <c r="H41" s="188">
        <v>12</v>
      </c>
      <c r="I41" s="188">
        <f>I35</f>
        <v>12</v>
      </c>
      <c r="K41" s="224">
        <v>3000</v>
      </c>
      <c r="L41" s="231">
        <f>+C41-K41</f>
        <v>0</v>
      </c>
      <c r="M41" s="188" t="s">
        <v>131</v>
      </c>
      <c r="S41" s="236">
        <v>6000</v>
      </c>
      <c r="T41" s="228">
        <v>1331.94</v>
      </c>
      <c r="U41" s="234">
        <f t="shared" ref="U41:U52" si="16">E41-T41</f>
        <v>767.25</v>
      </c>
      <c r="V41" s="190">
        <f>U28+U41</f>
        <v>3633.7000000000003</v>
      </c>
    </row>
    <row r="42" spans="1:22" x14ac:dyDescent="0.3">
      <c r="A42" s="235" t="s">
        <v>34</v>
      </c>
      <c r="B42" s="236">
        <v>6040</v>
      </c>
      <c r="C42" s="395">
        <v>0</v>
      </c>
      <c r="D42" s="228">
        <f t="shared" si="13"/>
        <v>0</v>
      </c>
      <c r="E42" s="228">
        <f>+'Block cost 15-16'!E68</f>
        <v>0</v>
      </c>
      <c r="F42" s="229">
        <f t="shared" si="14"/>
        <v>0</v>
      </c>
      <c r="G42" s="230">
        <f t="shared" si="15"/>
        <v>0</v>
      </c>
      <c r="H42" s="188">
        <v>12</v>
      </c>
      <c r="I42" s="188">
        <f>I35</f>
        <v>12</v>
      </c>
      <c r="K42" s="224">
        <v>0</v>
      </c>
      <c r="L42" s="231">
        <f>+C42-K42</f>
        <v>0</v>
      </c>
      <c r="S42" s="236">
        <v>6040</v>
      </c>
      <c r="T42" s="233">
        <v>6474.6</v>
      </c>
      <c r="U42" s="234">
        <f t="shared" si="16"/>
        <v>-6474.6</v>
      </c>
    </row>
    <row r="43" spans="1:22" x14ac:dyDescent="0.3">
      <c r="A43" s="235" t="s">
        <v>25</v>
      </c>
      <c r="B43" s="236">
        <v>6020</v>
      </c>
      <c r="C43" s="395">
        <v>5000</v>
      </c>
      <c r="D43" s="228">
        <f t="shared" si="13"/>
        <v>5000</v>
      </c>
      <c r="E43" s="228">
        <f>+'Block cost 15-16'!E62</f>
        <v>4432.38</v>
      </c>
      <c r="F43" s="229">
        <f t="shared" si="14"/>
        <v>567.61999999999989</v>
      </c>
      <c r="G43" s="230">
        <f t="shared" si="15"/>
        <v>567.61999999999989</v>
      </c>
      <c r="H43" s="188">
        <f t="shared" ref="H43:I58" si="17">H42</f>
        <v>12</v>
      </c>
      <c r="I43" s="188">
        <f t="shared" si="17"/>
        <v>12</v>
      </c>
      <c r="K43" s="224">
        <v>4000</v>
      </c>
      <c r="L43" s="231">
        <f>+C43-K43</f>
        <v>1000</v>
      </c>
      <c r="S43" s="236">
        <v>6020</v>
      </c>
      <c r="T43" s="233">
        <v>700.3</v>
      </c>
      <c r="U43" s="234">
        <f t="shared" si="16"/>
        <v>3732.08</v>
      </c>
      <c r="V43" s="190">
        <f>U43+U29</f>
        <v>6700.78</v>
      </c>
    </row>
    <row r="44" spans="1:22" x14ac:dyDescent="0.3">
      <c r="A44" s="235" t="s">
        <v>26</v>
      </c>
      <c r="B44" s="236">
        <v>6023</v>
      </c>
      <c r="C44" s="395">
        <v>0</v>
      </c>
      <c r="D44" s="228">
        <f t="shared" si="13"/>
        <v>0</v>
      </c>
      <c r="E44" s="228">
        <v>0</v>
      </c>
      <c r="F44" s="229">
        <f t="shared" si="14"/>
        <v>0</v>
      </c>
      <c r="G44" s="230">
        <f t="shared" si="15"/>
        <v>0</v>
      </c>
      <c r="H44" s="188">
        <f t="shared" si="17"/>
        <v>12</v>
      </c>
      <c r="I44" s="188">
        <f>I43</f>
        <v>12</v>
      </c>
      <c r="K44" s="224">
        <v>0</v>
      </c>
      <c r="L44" s="231">
        <f>+C44-K44</f>
        <v>0</v>
      </c>
      <c r="S44" s="236">
        <v>6023</v>
      </c>
      <c r="T44" s="233">
        <v>0</v>
      </c>
      <c r="U44" s="234">
        <f t="shared" si="16"/>
        <v>0</v>
      </c>
    </row>
    <row r="45" spans="1:22" x14ac:dyDescent="0.3">
      <c r="A45" s="235" t="s">
        <v>287</v>
      </c>
      <c r="B45" s="236">
        <v>6026</v>
      </c>
      <c r="C45" s="395">
        <v>500</v>
      </c>
      <c r="D45" s="228">
        <f t="shared" si="13"/>
        <v>500</v>
      </c>
      <c r="E45" s="228">
        <f>+'Block cost 15-16'!E63</f>
        <v>320</v>
      </c>
      <c r="F45" s="229">
        <f t="shared" si="14"/>
        <v>180</v>
      </c>
      <c r="G45" s="230">
        <f t="shared" si="15"/>
        <v>180</v>
      </c>
      <c r="H45" s="188">
        <f t="shared" si="17"/>
        <v>12</v>
      </c>
      <c r="I45" s="188">
        <f t="shared" si="17"/>
        <v>12</v>
      </c>
      <c r="K45" s="224">
        <v>1400</v>
      </c>
      <c r="L45" s="231">
        <f>+C45-K45</f>
        <v>-900</v>
      </c>
      <c r="S45" s="236">
        <v>6026</v>
      </c>
      <c r="T45" s="233">
        <v>615</v>
      </c>
      <c r="U45" s="234">
        <f t="shared" si="16"/>
        <v>-295</v>
      </c>
    </row>
    <row r="46" spans="1:22" x14ac:dyDescent="0.3">
      <c r="A46" s="235" t="s">
        <v>28</v>
      </c>
      <c r="B46" s="236">
        <v>6027</v>
      </c>
      <c r="C46" s="395">
        <v>0</v>
      </c>
      <c r="D46" s="228">
        <f t="shared" si="13"/>
        <v>0</v>
      </c>
      <c r="E46" s="228">
        <v>0</v>
      </c>
      <c r="F46" s="229">
        <f t="shared" si="14"/>
        <v>0</v>
      </c>
      <c r="G46" s="230">
        <f t="shared" si="15"/>
        <v>0</v>
      </c>
      <c r="H46" s="188">
        <f t="shared" si="17"/>
        <v>12</v>
      </c>
      <c r="I46" s="188">
        <f t="shared" si="17"/>
        <v>12</v>
      </c>
      <c r="K46" s="224">
        <v>0</v>
      </c>
      <c r="L46" s="231"/>
      <c r="S46" s="236">
        <v>6027</v>
      </c>
      <c r="T46" s="233">
        <v>0</v>
      </c>
      <c r="U46" s="234">
        <f t="shared" si="16"/>
        <v>0</v>
      </c>
    </row>
    <row r="47" spans="1:22" x14ac:dyDescent="0.3">
      <c r="A47" s="235" t="s">
        <v>298</v>
      </c>
      <c r="B47" s="236">
        <v>6034</v>
      </c>
      <c r="C47" s="395">
        <v>300</v>
      </c>
      <c r="D47" s="228">
        <f t="shared" si="13"/>
        <v>300</v>
      </c>
      <c r="E47" s="228">
        <v>0</v>
      </c>
      <c r="F47" s="229">
        <f t="shared" si="14"/>
        <v>300</v>
      </c>
      <c r="G47" s="230">
        <f t="shared" si="15"/>
        <v>300</v>
      </c>
      <c r="H47" s="188">
        <f t="shared" si="17"/>
        <v>12</v>
      </c>
      <c r="I47" s="188">
        <f t="shared" si="17"/>
        <v>12</v>
      </c>
      <c r="K47" s="224">
        <v>350</v>
      </c>
      <c r="L47" s="231">
        <f t="shared" ref="L47:L52" si="18">+C47-K47</f>
        <v>-50</v>
      </c>
      <c r="S47" s="236">
        <v>6034</v>
      </c>
      <c r="T47" s="233">
        <v>0</v>
      </c>
      <c r="U47" s="234">
        <f t="shared" si="16"/>
        <v>0</v>
      </c>
    </row>
    <row r="48" spans="1:22" x14ac:dyDescent="0.3">
      <c r="A48" s="235" t="s">
        <v>29</v>
      </c>
      <c r="B48" s="236">
        <v>6035</v>
      </c>
      <c r="C48" s="395">
        <v>300</v>
      </c>
      <c r="D48" s="228">
        <f t="shared" si="13"/>
        <v>300</v>
      </c>
      <c r="E48" s="233">
        <v>180</v>
      </c>
      <c r="F48" s="229">
        <f t="shared" si="14"/>
        <v>120</v>
      </c>
      <c r="G48" s="230">
        <f t="shared" si="15"/>
        <v>120</v>
      </c>
      <c r="H48" s="188">
        <f t="shared" si="17"/>
        <v>12</v>
      </c>
      <c r="I48" s="188">
        <f t="shared" si="17"/>
        <v>12</v>
      </c>
      <c r="K48" s="224">
        <v>350</v>
      </c>
      <c r="L48" s="231">
        <f t="shared" si="18"/>
        <v>-50</v>
      </c>
      <c r="S48" s="236">
        <v>6035</v>
      </c>
      <c r="T48" s="233">
        <v>90</v>
      </c>
      <c r="U48" s="234">
        <f t="shared" si="16"/>
        <v>90</v>
      </c>
    </row>
    <row r="49" spans="1:21" x14ac:dyDescent="0.3">
      <c r="A49" s="235" t="s">
        <v>30</v>
      </c>
      <c r="B49" s="236">
        <v>6036</v>
      </c>
      <c r="C49" s="395">
        <v>400</v>
      </c>
      <c r="D49" s="228">
        <f t="shared" si="13"/>
        <v>400</v>
      </c>
      <c r="E49" s="233">
        <v>0</v>
      </c>
      <c r="F49" s="229">
        <f t="shared" si="14"/>
        <v>400</v>
      </c>
      <c r="G49" s="230">
        <f t="shared" si="15"/>
        <v>400</v>
      </c>
      <c r="H49" s="188">
        <f t="shared" si="17"/>
        <v>12</v>
      </c>
      <c r="I49" s="188">
        <f t="shared" si="17"/>
        <v>12</v>
      </c>
      <c r="K49" s="224">
        <v>400</v>
      </c>
      <c r="L49" s="231">
        <f t="shared" si="18"/>
        <v>0</v>
      </c>
      <c r="S49" s="236">
        <v>6036</v>
      </c>
      <c r="T49" s="233">
        <v>0</v>
      </c>
      <c r="U49" s="234">
        <f t="shared" si="16"/>
        <v>0</v>
      </c>
    </row>
    <row r="50" spans="1:21" x14ac:dyDescent="0.3">
      <c r="A50" s="235" t="s">
        <v>31</v>
      </c>
      <c r="B50" s="236">
        <v>6037</v>
      </c>
      <c r="C50" s="233">
        <v>0</v>
      </c>
      <c r="D50" s="228">
        <f t="shared" si="13"/>
        <v>0</v>
      </c>
      <c r="E50" s="233">
        <v>0</v>
      </c>
      <c r="F50" s="229">
        <f t="shared" si="14"/>
        <v>0</v>
      </c>
      <c r="G50" s="230">
        <f t="shared" si="15"/>
        <v>0</v>
      </c>
      <c r="H50" s="188">
        <f t="shared" si="17"/>
        <v>12</v>
      </c>
      <c r="I50" s="188">
        <f t="shared" si="17"/>
        <v>12</v>
      </c>
      <c r="K50" s="224">
        <v>0</v>
      </c>
      <c r="L50" s="231">
        <f t="shared" si="18"/>
        <v>0</v>
      </c>
      <c r="S50" s="236">
        <v>6037</v>
      </c>
      <c r="T50" s="233">
        <v>0</v>
      </c>
      <c r="U50" s="234">
        <f t="shared" si="16"/>
        <v>0</v>
      </c>
    </row>
    <row r="51" spans="1:21" x14ac:dyDescent="0.3">
      <c r="A51" s="235" t="s">
        <v>32</v>
      </c>
      <c r="B51" s="236">
        <v>6038</v>
      </c>
      <c r="C51" s="228">
        <v>0</v>
      </c>
      <c r="D51" s="228">
        <f t="shared" si="13"/>
        <v>0</v>
      </c>
      <c r="E51" s="233">
        <v>0</v>
      </c>
      <c r="F51" s="229">
        <f t="shared" si="14"/>
        <v>0</v>
      </c>
      <c r="G51" s="230">
        <f t="shared" si="15"/>
        <v>0</v>
      </c>
      <c r="H51" s="188">
        <f t="shared" si="17"/>
        <v>12</v>
      </c>
      <c r="I51" s="188">
        <f t="shared" si="17"/>
        <v>12</v>
      </c>
      <c r="K51" s="224">
        <v>0</v>
      </c>
      <c r="L51" s="231">
        <f t="shared" si="18"/>
        <v>0</v>
      </c>
      <c r="S51" s="236">
        <v>6038</v>
      </c>
      <c r="T51" s="233">
        <v>0</v>
      </c>
      <c r="U51" s="234">
        <f t="shared" si="16"/>
        <v>0</v>
      </c>
    </row>
    <row r="52" spans="1:21" x14ac:dyDescent="0.3">
      <c r="A52" s="235" t="s">
        <v>33</v>
      </c>
      <c r="B52" s="236">
        <v>6039</v>
      </c>
      <c r="C52" s="228">
        <v>0</v>
      </c>
      <c r="D52" s="228">
        <f t="shared" si="13"/>
        <v>0</v>
      </c>
      <c r="E52" s="233">
        <v>-1600</v>
      </c>
      <c r="F52" s="229">
        <f t="shared" si="14"/>
        <v>1600</v>
      </c>
      <c r="G52" s="230">
        <f t="shared" si="15"/>
        <v>1600</v>
      </c>
      <c r="H52" s="188">
        <f t="shared" si="17"/>
        <v>12</v>
      </c>
      <c r="I52" s="188">
        <f t="shared" si="17"/>
        <v>12</v>
      </c>
      <c r="K52" s="224">
        <v>0</v>
      </c>
      <c r="L52" s="231">
        <f t="shared" si="18"/>
        <v>0</v>
      </c>
      <c r="S52" s="236">
        <v>6039</v>
      </c>
      <c r="T52" s="233">
        <v>0</v>
      </c>
      <c r="U52" s="234">
        <f t="shared" si="16"/>
        <v>-1600</v>
      </c>
    </row>
    <row r="53" spans="1:21" x14ac:dyDescent="0.3">
      <c r="A53" s="235" t="s">
        <v>36</v>
      </c>
      <c r="B53" s="236">
        <v>6061</v>
      </c>
      <c r="C53" s="228">
        <v>0</v>
      </c>
      <c r="D53" s="228">
        <f t="shared" si="13"/>
        <v>0</v>
      </c>
      <c r="E53" s="233">
        <v>0</v>
      </c>
      <c r="F53" s="229">
        <f t="shared" si="14"/>
        <v>0</v>
      </c>
      <c r="G53" s="230">
        <f t="shared" si="15"/>
        <v>0</v>
      </c>
      <c r="H53" s="188">
        <f t="shared" si="17"/>
        <v>12</v>
      </c>
      <c r="I53" s="188">
        <f t="shared" si="17"/>
        <v>12</v>
      </c>
      <c r="K53" s="224">
        <v>0</v>
      </c>
      <c r="L53" s="231"/>
      <c r="S53" s="236"/>
      <c r="T53" s="233"/>
      <c r="U53" s="234"/>
    </row>
    <row r="54" spans="1:21" x14ac:dyDescent="0.3">
      <c r="A54" s="235" t="s">
        <v>296</v>
      </c>
      <c r="B54" s="236">
        <v>6045</v>
      </c>
      <c r="C54" s="228">
        <v>0</v>
      </c>
      <c r="D54" s="228">
        <f t="shared" si="13"/>
        <v>0</v>
      </c>
      <c r="E54" s="233">
        <v>0</v>
      </c>
      <c r="F54" s="229">
        <f t="shared" si="14"/>
        <v>0</v>
      </c>
      <c r="G54" s="230">
        <f t="shared" si="15"/>
        <v>0</v>
      </c>
      <c r="H54" s="188">
        <f t="shared" si="17"/>
        <v>12</v>
      </c>
      <c r="I54" s="188">
        <f t="shared" si="17"/>
        <v>12</v>
      </c>
      <c r="K54" s="224">
        <v>0</v>
      </c>
      <c r="L54" s="231">
        <f t="shared" ref="L54:L79" si="19">+C54-K54</f>
        <v>0</v>
      </c>
      <c r="S54" s="236">
        <v>6045</v>
      </c>
      <c r="T54" s="233">
        <v>0</v>
      </c>
      <c r="U54" s="234">
        <f t="shared" ref="U54:U78" si="20">E54-T54</f>
        <v>0</v>
      </c>
    </row>
    <row r="55" spans="1:21" x14ac:dyDescent="0.3">
      <c r="A55" s="235" t="s">
        <v>37</v>
      </c>
      <c r="B55" s="236">
        <v>6080</v>
      </c>
      <c r="C55" s="228">
        <v>0</v>
      </c>
      <c r="D55" s="228">
        <f t="shared" si="13"/>
        <v>0</v>
      </c>
      <c r="E55" s="233">
        <v>4756.78</v>
      </c>
      <c r="F55" s="229">
        <f t="shared" si="14"/>
        <v>-4756.78</v>
      </c>
      <c r="G55" s="230">
        <f t="shared" si="15"/>
        <v>-4756.78</v>
      </c>
      <c r="H55" s="188">
        <f t="shared" si="17"/>
        <v>12</v>
      </c>
      <c r="I55" s="188">
        <f t="shared" si="17"/>
        <v>12</v>
      </c>
      <c r="K55" s="224">
        <v>0</v>
      </c>
      <c r="L55" s="231">
        <f t="shared" si="19"/>
        <v>0</v>
      </c>
      <c r="S55" s="236">
        <v>6080</v>
      </c>
      <c r="T55" s="233">
        <v>0</v>
      </c>
      <c r="U55" s="234">
        <f t="shared" si="20"/>
        <v>4756.78</v>
      </c>
    </row>
    <row r="56" spans="1:21" x14ac:dyDescent="0.3">
      <c r="A56" s="235" t="s">
        <v>38</v>
      </c>
      <c r="B56" s="236">
        <v>6082</v>
      </c>
      <c r="C56" s="228">
        <v>100</v>
      </c>
      <c r="D56" s="228">
        <f t="shared" ref="D56:D77" si="21">C56/H56*I56</f>
        <v>100</v>
      </c>
      <c r="E56" s="233">
        <v>0</v>
      </c>
      <c r="F56" s="229">
        <f t="shared" si="14"/>
        <v>100</v>
      </c>
      <c r="G56" s="230">
        <f t="shared" si="15"/>
        <v>100</v>
      </c>
      <c r="H56" s="188">
        <f t="shared" si="17"/>
        <v>12</v>
      </c>
      <c r="I56" s="188">
        <f t="shared" si="17"/>
        <v>12</v>
      </c>
      <c r="K56" s="224">
        <v>0</v>
      </c>
      <c r="L56" s="231">
        <f t="shared" si="19"/>
        <v>100</v>
      </c>
      <c r="S56" s="236">
        <v>6082</v>
      </c>
      <c r="T56" s="233">
        <v>0</v>
      </c>
      <c r="U56" s="234">
        <f t="shared" si="20"/>
        <v>0</v>
      </c>
    </row>
    <row r="57" spans="1:21" x14ac:dyDescent="0.3">
      <c r="A57" s="235" t="s">
        <v>40</v>
      </c>
      <c r="B57" s="236">
        <v>6120</v>
      </c>
      <c r="C57" s="228">
        <v>0</v>
      </c>
      <c r="D57" s="228">
        <f t="shared" si="21"/>
        <v>0</v>
      </c>
      <c r="E57" s="233">
        <v>0</v>
      </c>
      <c r="F57" s="229">
        <f t="shared" si="14"/>
        <v>0</v>
      </c>
      <c r="G57" s="230">
        <f t="shared" si="15"/>
        <v>0</v>
      </c>
      <c r="H57" s="188">
        <f t="shared" si="17"/>
        <v>12</v>
      </c>
      <c r="I57" s="188">
        <f t="shared" si="17"/>
        <v>12</v>
      </c>
      <c r="K57" s="224">
        <v>0</v>
      </c>
      <c r="L57" s="231">
        <f t="shared" si="19"/>
        <v>0</v>
      </c>
      <c r="S57" s="236">
        <v>6120</v>
      </c>
      <c r="T57" s="233">
        <v>0</v>
      </c>
      <c r="U57" s="234">
        <f t="shared" si="20"/>
        <v>0</v>
      </c>
    </row>
    <row r="58" spans="1:21" x14ac:dyDescent="0.3">
      <c r="A58" s="235" t="s">
        <v>41</v>
      </c>
      <c r="B58" s="236">
        <v>6130</v>
      </c>
      <c r="C58" s="228">
        <v>3500</v>
      </c>
      <c r="D58" s="228">
        <f t="shared" si="21"/>
        <v>3500</v>
      </c>
      <c r="E58" s="233">
        <v>3900</v>
      </c>
      <c r="F58" s="229">
        <f t="shared" si="14"/>
        <v>-400</v>
      </c>
      <c r="G58" s="230">
        <f t="shared" si="15"/>
        <v>-400</v>
      </c>
      <c r="H58" s="188">
        <f t="shared" si="17"/>
        <v>12</v>
      </c>
      <c r="I58" s="188">
        <f t="shared" si="17"/>
        <v>12</v>
      </c>
      <c r="K58" s="224">
        <v>3000</v>
      </c>
      <c r="L58" s="231">
        <f t="shared" si="19"/>
        <v>500</v>
      </c>
      <c r="S58" s="236">
        <v>6130</v>
      </c>
      <c r="T58" s="233">
        <v>0</v>
      </c>
      <c r="U58" s="234">
        <f t="shared" si="20"/>
        <v>3900</v>
      </c>
    </row>
    <row r="59" spans="1:21" x14ac:dyDescent="0.3">
      <c r="A59" s="235" t="s">
        <v>42</v>
      </c>
      <c r="B59" s="236">
        <v>6140</v>
      </c>
      <c r="C59" s="228">
        <v>0</v>
      </c>
      <c r="D59" s="228">
        <f t="shared" si="21"/>
        <v>0</v>
      </c>
      <c r="E59" s="233">
        <f>+'Block cost 15-16'!E69</f>
        <v>818.13</v>
      </c>
      <c r="F59" s="229">
        <f t="shared" si="14"/>
        <v>-818.13</v>
      </c>
      <c r="G59" s="230">
        <f t="shared" si="15"/>
        <v>-818.13</v>
      </c>
      <c r="H59" s="188">
        <f t="shared" ref="H59:I74" si="22">H58</f>
        <v>12</v>
      </c>
      <c r="I59" s="188">
        <f t="shared" si="22"/>
        <v>12</v>
      </c>
      <c r="K59" s="224">
        <v>500</v>
      </c>
      <c r="L59" s="231">
        <f t="shared" si="19"/>
        <v>-500</v>
      </c>
      <c r="S59" s="236"/>
      <c r="T59" s="233">
        <v>0</v>
      </c>
      <c r="U59" s="234">
        <f t="shared" si="20"/>
        <v>818.13</v>
      </c>
    </row>
    <row r="60" spans="1:21" x14ac:dyDescent="0.3">
      <c r="A60" s="235" t="s">
        <v>43</v>
      </c>
      <c r="B60" s="236">
        <v>6141</v>
      </c>
      <c r="C60" s="228">
        <v>100</v>
      </c>
      <c r="D60" s="228">
        <f t="shared" si="21"/>
        <v>100</v>
      </c>
      <c r="E60" s="233">
        <v>39.93</v>
      </c>
      <c r="F60" s="229">
        <f t="shared" si="14"/>
        <v>60.07</v>
      </c>
      <c r="G60" s="230">
        <f t="shared" si="15"/>
        <v>60.07</v>
      </c>
      <c r="H60" s="188">
        <f t="shared" si="22"/>
        <v>12</v>
      </c>
      <c r="I60" s="188">
        <f t="shared" si="22"/>
        <v>12</v>
      </c>
      <c r="K60" s="224">
        <v>100</v>
      </c>
      <c r="L60" s="231">
        <f t="shared" si="19"/>
        <v>0</v>
      </c>
      <c r="S60" s="236">
        <v>6141</v>
      </c>
      <c r="T60" s="233">
        <v>0</v>
      </c>
      <c r="U60" s="234">
        <f t="shared" si="20"/>
        <v>39.93</v>
      </c>
    </row>
    <row r="61" spans="1:21" x14ac:dyDescent="0.3">
      <c r="A61" s="235" t="s">
        <v>44</v>
      </c>
      <c r="B61" s="236">
        <v>6142</v>
      </c>
      <c r="C61" s="396">
        <v>100</v>
      </c>
      <c r="D61" s="228">
        <f t="shared" si="21"/>
        <v>100</v>
      </c>
      <c r="E61" s="233">
        <v>0</v>
      </c>
      <c r="F61" s="229">
        <f t="shared" si="14"/>
        <v>100</v>
      </c>
      <c r="G61" s="230">
        <f t="shared" si="15"/>
        <v>100</v>
      </c>
      <c r="H61" s="188">
        <f t="shared" si="22"/>
        <v>12</v>
      </c>
      <c r="I61" s="188">
        <f t="shared" si="22"/>
        <v>12</v>
      </c>
      <c r="K61" s="224">
        <v>100</v>
      </c>
      <c r="L61" s="231">
        <f t="shared" si="19"/>
        <v>0</v>
      </c>
      <c r="S61" s="236">
        <v>6142</v>
      </c>
      <c r="T61" s="233">
        <v>0</v>
      </c>
      <c r="U61" s="234">
        <f t="shared" si="20"/>
        <v>0</v>
      </c>
    </row>
    <row r="62" spans="1:21" x14ac:dyDescent="0.3">
      <c r="A62" s="235" t="s">
        <v>45</v>
      </c>
      <c r="B62" s="236">
        <v>6147</v>
      </c>
      <c r="C62" s="396">
        <v>1500</v>
      </c>
      <c r="D62" s="228">
        <f t="shared" si="21"/>
        <v>1500</v>
      </c>
      <c r="E62" s="233">
        <v>3867.28</v>
      </c>
      <c r="F62" s="229">
        <f t="shared" si="14"/>
        <v>-2367.2800000000002</v>
      </c>
      <c r="G62" s="230">
        <f t="shared" si="15"/>
        <v>-2367.2800000000002</v>
      </c>
      <c r="H62" s="188">
        <f t="shared" si="22"/>
        <v>12</v>
      </c>
      <c r="I62" s="188">
        <f t="shared" si="22"/>
        <v>12</v>
      </c>
      <c r="K62" s="224">
        <v>1200</v>
      </c>
      <c r="L62" s="231">
        <f t="shared" si="19"/>
        <v>300</v>
      </c>
      <c r="S62" s="236">
        <v>6147</v>
      </c>
      <c r="T62" s="233">
        <v>814.01</v>
      </c>
      <c r="U62" s="234">
        <f t="shared" si="20"/>
        <v>3053.2700000000004</v>
      </c>
    </row>
    <row r="63" spans="1:21" x14ac:dyDescent="0.3">
      <c r="A63" s="235" t="s">
        <v>46</v>
      </c>
      <c r="B63" s="236">
        <v>6150</v>
      </c>
      <c r="C63" s="228">
        <v>0</v>
      </c>
      <c r="D63" s="228">
        <f t="shared" si="21"/>
        <v>0</v>
      </c>
      <c r="E63" s="233">
        <v>0</v>
      </c>
      <c r="F63" s="229">
        <f t="shared" si="14"/>
        <v>0</v>
      </c>
      <c r="G63" s="230">
        <f t="shared" si="15"/>
        <v>0</v>
      </c>
      <c r="H63" s="188">
        <f t="shared" si="22"/>
        <v>12</v>
      </c>
      <c r="I63" s="188">
        <f t="shared" si="22"/>
        <v>12</v>
      </c>
      <c r="K63" s="224">
        <v>2400</v>
      </c>
      <c r="L63" s="231">
        <f t="shared" si="19"/>
        <v>-2400</v>
      </c>
      <c r="S63" s="236">
        <v>6150</v>
      </c>
      <c r="T63" s="233">
        <v>0</v>
      </c>
      <c r="U63" s="234">
        <f t="shared" si="20"/>
        <v>0</v>
      </c>
    </row>
    <row r="64" spans="1:21" x14ac:dyDescent="0.3">
      <c r="A64" s="235" t="s">
        <v>47</v>
      </c>
      <c r="B64" s="236">
        <v>6160</v>
      </c>
      <c r="C64" s="228">
        <v>200</v>
      </c>
      <c r="D64" s="228">
        <f t="shared" si="21"/>
        <v>200</v>
      </c>
      <c r="E64" s="233">
        <v>408</v>
      </c>
      <c r="F64" s="229">
        <f t="shared" si="14"/>
        <v>-208</v>
      </c>
      <c r="G64" s="230">
        <f t="shared" si="15"/>
        <v>-208</v>
      </c>
      <c r="H64" s="188">
        <f t="shared" si="22"/>
        <v>12</v>
      </c>
      <c r="I64" s="188">
        <f t="shared" si="22"/>
        <v>12</v>
      </c>
      <c r="K64" s="224">
        <v>200</v>
      </c>
      <c r="L64" s="231">
        <f t="shared" si="19"/>
        <v>0</v>
      </c>
      <c r="S64" s="236">
        <v>6160</v>
      </c>
      <c r="T64" s="233">
        <v>0</v>
      </c>
      <c r="U64" s="234">
        <f t="shared" si="20"/>
        <v>408</v>
      </c>
    </row>
    <row r="65" spans="1:21" x14ac:dyDescent="0.3">
      <c r="A65" s="235" t="s">
        <v>48</v>
      </c>
      <c r="B65" s="236">
        <v>6170</v>
      </c>
      <c r="C65" s="397">
        <v>0</v>
      </c>
      <c r="D65" s="228">
        <f t="shared" si="21"/>
        <v>0</v>
      </c>
      <c r="E65" s="233">
        <v>0</v>
      </c>
      <c r="F65" s="229">
        <f t="shared" si="14"/>
        <v>0</v>
      </c>
      <c r="G65" s="230">
        <f t="shared" si="15"/>
        <v>0</v>
      </c>
      <c r="H65" s="188">
        <f t="shared" si="22"/>
        <v>12</v>
      </c>
      <c r="I65" s="188">
        <f t="shared" si="22"/>
        <v>12</v>
      </c>
      <c r="K65" s="224">
        <v>150</v>
      </c>
      <c r="L65" s="231">
        <f t="shared" si="19"/>
        <v>-150</v>
      </c>
      <c r="S65" s="236">
        <v>6170</v>
      </c>
      <c r="T65" s="233">
        <v>0</v>
      </c>
      <c r="U65" s="234">
        <f t="shared" si="20"/>
        <v>0</v>
      </c>
    </row>
    <row r="66" spans="1:21" x14ac:dyDescent="0.3">
      <c r="A66" s="235" t="s">
        <v>49</v>
      </c>
      <c r="B66" s="236">
        <v>6171</v>
      </c>
      <c r="C66" s="397">
        <v>150</v>
      </c>
      <c r="D66" s="228">
        <f t="shared" si="21"/>
        <v>150</v>
      </c>
      <c r="E66" s="233">
        <v>0</v>
      </c>
      <c r="F66" s="229">
        <f t="shared" si="14"/>
        <v>150</v>
      </c>
      <c r="G66" s="230">
        <f t="shared" si="15"/>
        <v>150</v>
      </c>
      <c r="H66" s="188">
        <f t="shared" si="22"/>
        <v>12</v>
      </c>
      <c r="I66" s="188">
        <f t="shared" si="22"/>
        <v>12</v>
      </c>
      <c r="K66" s="224">
        <v>0</v>
      </c>
      <c r="L66" s="231">
        <f t="shared" si="19"/>
        <v>150</v>
      </c>
      <c r="S66" s="236">
        <v>6171</v>
      </c>
      <c r="T66" s="233">
        <v>0</v>
      </c>
      <c r="U66" s="234">
        <f t="shared" si="20"/>
        <v>0</v>
      </c>
    </row>
    <row r="67" spans="1:21" x14ac:dyDescent="0.3">
      <c r="A67" s="235" t="s">
        <v>50</v>
      </c>
      <c r="B67" s="236">
        <v>6175</v>
      </c>
      <c r="C67" s="228">
        <v>0</v>
      </c>
      <c r="D67" s="228">
        <f t="shared" si="21"/>
        <v>0</v>
      </c>
      <c r="E67" s="233">
        <v>0</v>
      </c>
      <c r="F67" s="229">
        <f t="shared" si="14"/>
        <v>0</v>
      </c>
      <c r="G67" s="230">
        <f t="shared" si="15"/>
        <v>0</v>
      </c>
      <c r="H67" s="188">
        <f t="shared" si="22"/>
        <v>12</v>
      </c>
      <c r="I67" s="188">
        <f t="shared" si="22"/>
        <v>12</v>
      </c>
      <c r="K67" s="224">
        <v>700</v>
      </c>
      <c r="L67" s="231">
        <f t="shared" si="19"/>
        <v>-700</v>
      </c>
      <c r="S67" s="236"/>
      <c r="T67" s="233">
        <v>0</v>
      </c>
      <c r="U67" s="234">
        <f t="shared" si="20"/>
        <v>0</v>
      </c>
    </row>
    <row r="68" spans="1:21" x14ac:dyDescent="0.3">
      <c r="A68" s="235" t="s">
        <v>51</v>
      </c>
      <c r="B68" s="236">
        <v>6180</v>
      </c>
      <c r="C68" s="228">
        <v>0</v>
      </c>
      <c r="D68" s="228">
        <f t="shared" si="21"/>
        <v>0</v>
      </c>
      <c r="E68" s="233">
        <v>0</v>
      </c>
      <c r="F68" s="229">
        <f t="shared" si="14"/>
        <v>0</v>
      </c>
      <c r="G68" s="230">
        <f t="shared" si="15"/>
        <v>0</v>
      </c>
      <c r="H68" s="188">
        <f t="shared" si="22"/>
        <v>12</v>
      </c>
      <c r="I68" s="188">
        <f t="shared" si="22"/>
        <v>12</v>
      </c>
      <c r="K68" s="224">
        <v>100</v>
      </c>
      <c r="L68" s="231">
        <f t="shared" si="19"/>
        <v>-100</v>
      </c>
      <c r="S68" s="236">
        <v>6180</v>
      </c>
      <c r="T68" s="233">
        <v>0</v>
      </c>
      <c r="U68" s="234">
        <f t="shared" si="20"/>
        <v>0</v>
      </c>
    </row>
    <row r="69" spans="1:21" x14ac:dyDescent="0.3">
      <c r="A69" s="235" t="s">
        <v>52</v>
      </c>
      <c r="B69" s="236">
        <v>6183</v>
      </c>
      <c r="C69" s="228">
        <v>100</v>
      </c>
      <c r="D69" s="228">
        <f t="shared" si="21"/>
        <v>100</v>
      </c>
      <c r="E69" s="233">
        <v>0</v>
      </c>
      <c r="F69" s="229">
        <f t="shared" si="14"/>
        <v>100</v>
      </c>
      <c r="G69" s="230">
        <f t="shared" si="15"/>
        <v>100</v>
      </c>
      <c r="H69" s="188">
        <f t="shared" si="22"/>
        <v>12</v>
      </c>
      <c r="I69" s="188">
        <f t="shared" si="22"/>
        <v>12</v>
      </c>
      <c r="K69" s="224">
        <v>0</v>
      </c>
      <c r="L69" s="231">
        <f t="shared" si="19"/>
        <v>100</v>
      </c>
      <c r="S69" s="236">
        <v>6183</v>
      </c>
      <c r="T69" s="233">
        <v>0</v>
      </c>
      <c r="U69" s="234">
        <f t="shared" si="20"/>
        <v>0</v>
      </c>
    </row>
    <row r="70" spans="1:21" x14ac:dyDescent="0.3">
      <c r="A70" s="235" t="s">
        <v>53</v>
      </c>
      <c r="B70" s="236">
        <v>6185</v>
      </c>
      <c r="C70" s="228">
        <v>0</v>
      </c>
      <c r="D70" s="228">
        <f t="shared" si="21"/>
        <v>0</v>
      </c>
      <c r="E70" s="233">
        <v>0</v>
      </c>
      <c r="F70" s="229">
        <f t="shared" si="14"/>
        <v>0</v>
      </c>
      <c r="G70" s="230">
        <f t="shared" si="15"/>
        <v>0</v>
      </c>
      <c r="H70" s="188">
        <f t="shared" si="22"/>
        <v>12</v>
      </c>
      <c r="I70" s="188">
        <f t="shared" si="22"/>
        <v>12</v>
      </c>
      <c r="K70" s="224">
        <v>0</v>
      </c>
      <c r="L70" s="231">
        <f t="shared" si="19"/>
        <v>0</v>
      </c>
      <c r="S70" s="236">
        <v>6185</v>
      </c>
      <c r="T70" s="233">
        <v>0</v>
      </c>
      <c r="U70" s="234">
        <f t="shared" si="20"/>
        <v>0</v>
      </c>
    </row>
    <row r="71" spans="1:21" x14ac:dyDescent="0.3">
      <c r="A71" s="235" t="s">
        <v>54</v>
      </c>
      <c r="B71" s="236">
        <v>6190</v>
      </c>
      <c r="C71" s="228">
        <v>1000</v>
      </c>
      <c r="D71" s="228">
        <f t="shared" si="21"/>
        <v>1000</v>
      </c>
      <c r="E71" s="233">
        <v>726.67</v>
      </c>
      <c r="F71" s="229">
        <f t="shared" si="14"/>
        <v>273.33000000000004</v>
      </c>
      <c r="G71" s="230">
        <f t="shared" si="15"/>
        <v>273.33000000000004</v>
      </c>
      <c r="H71" s="188">
        <f t="shared" si="22"/>
        <v>12</v>
      </c>
      <c r="I71" s="188">
        <f t="shared" si="22"/>
        <v>12</v>
      </c>
      <c r="K71" s="224">
        <v>1100</v>
      </c>
      <c r="L71" s="231">
        <f t="shared" si="19"/>
        <v>-100</v>
      </c>
      <c r="S71" s="236">
        <v>6190</v>
      </c>
      <c r="T71" s="233">
        <v>968.98</v>
      </c>
      <c r="U71" s="234">
        <f t="shared" si="20"/>
        <v>-242.31000000000006</v>
      </c>
    </row>
    <row r="72" spans="1:21" x14ac:dyDescent="0.3">
      <c r="A72" s="235" t="s">
        <v>55</v>
      </c>
      <c r="B72" s="236">
        <v>6195</v>
      </c>
      <c r="C72" s="228">
        <v>0</v>
      </c>
      <c r="D72" s="228">
        <f t="shared" si="21"/>
        <v>0</v>
      </c>
      <c r="E72" s="233">
        <v>0</v>
      </c>
      <c r="F72" s="229">
        <f t="shared" si="14"/>
        <v>0</v>
      </c>
      <c r="G72" s="230">
        <f t="shared" si="15"/>
        <v>0</v>
      </c>
      <c r="H72" s="188">
        <f t="shared" si="22"/>
        <v>12</v>
      </c>
      <c r="I72" s="188">
        <f t="shared" si="22"/>
        <v>12</v>
      </c>
      <c r="K72" s="224">
        <v>0</v>
      </c>
      <c r="L72" s="231">
        <f t="shared" si="19"/>
        <v>0</v>
      </c>
      <c r="S72" s="236">
        <v>6195</v>
      </c>
      <c r="T72" s="233">
        <v>0</v>
      </c>
      <c r="U72" s="234">
        <f t="shared" si="20"/>
        <v>0</v>
      </c>
    </row>
    <row r="73" spans="1:21" x14ac:dyDescent="0.3">
      <c r="A73" s="235" t="s">
        <v>56</v>
      </c>
      <c r="B73" s="236">
        <v>6196</v>
      </c>
      <c r="C73" s="228">
        <v>0</v>
      </c>
      <c r="D73" s="228">
        <f t="shared" si="21"/>
        <v>0</v>
      </c>
      <c r="E73" s="233">
        <v>0</v>
      </c>
      <c r="F73" s="229">
        <f t="shared" si="14"/>
        <v>0</v>
      </c>
      <c r="G73" s="230">
        <f t="shared" si="15"/>
        <v>0</v>
      </c>
      <c r="H73" s="188">
        <f t="shared" si="22"/>
        <v>12</v>
      </c>
      <c r="I73" s="188">
        <f t="shared" si="22"/>
        <v>12</v>
      </c>
      <c r="K73" s="224">
        <v>0</v>
      </c>
      <c r="L73" s="231">
        <f t="shared" si="19"/>
        <v>0</v>
      </c>
      <c r="S73" s="236">
        <v>6196</v>
      </c>
      <c r="T73" s="233">
        <v>0</v>
      </c>
      <c r="U73" s="234">
        <f t="shared" si="20"/>
        <v>0</v>
      </c>
    </row>
    <row r="74" spans="1:21" x14ac:dyDescent="0.3">
      <c r="A74" s="235" t="s">
        <v>57</v>
      </c>
      <c r="B74" s="236">
        <v>6197</v>
      </c>
      <c r="C74" s="228">
        <v>0</v>
      </c>
      <c r="D74" s="228">
        <f t="shared" si="21"/>
        <v>0</v>
      </c>
      <c r="E74" s="233">
        <v>0</v>
      </c>
      <c r="F74" s="229">
        <f t="shared" si="14"/>
        <v>0</v>
      </c>
      <c r="G74" s="230">
        <f t="shared" si="15"/>
        <v>0</v>
      </c>
      <c r="H74" s="188">
        <f t="shared" si="22"/>
        <v>12</v>
      </c>
      <c r="I74" s="188">
        <f t="shared" si="22"/>
        <v>12</v>
      </c>
      <c r="K74" s="224">
        <v>0</v>
      </c>
      <c r="L74" s="231">
        <f t="shared" si="19"/>
        <v>0</v>
      </c>
      <c r="S74" s="236">
        <v>6197</v>
      </c>
      <c r="T74" s="233">
        <v>0</v>
      </c>
      <c r="U74" s="234">
        <f t="shared" si="20"/>
        <v>0</v>
      </c>
    </row>
    <row r="75" spans="1:21" x14ac:dyDescent="0.3">
      <c r="A75" s="235" t="s">
        <v>209</v>
      </c>
      <c r="B75" s="236">
        <v>6200</v>
      </c>
      <c r="C75" s="228">
        <v>0</v>
      </c>
      <c r="D75" s="228">
        <f t="shared" si="21"/>
        <v>0</v>
      </c>
      <c r="E75" s="233">
        <v>25.94</v>
      </c>
      <c r="F75" s="229">
        <f t="shared" si="14"/>
        <v>-25.94</v>
      </c>
      <c r="G75" s="230">
        <f t="shared" si="15"/>
        <v>-25.94</v>
      </c>
      <c r="H75" s="188">
        <f t="shared" ref="H75:I77" si="23">H74</f>
        <v>12</v>
      </c>
      <c r="I75" s="188">
        <f t="shared" si="23"/>
        <v>12</v>
      </c>
      <c r="K75" s="224">
        <v>0</v>
      </c>
      <c r="L75" s="231">
        <f t="shared" si="19"/>
        <v>0</v>
      </c>
      <c r="S75" s="236">
        <v>6200</v>
      </c>
      <c r="T75" s="233">
        <v>0</v>
      </c>
      <c r="U75" s="234">
        <f t="shared" si="20"/>
        <v>25.94</v>
      </c>
    </row>
    <row r="76" spans="1:21" x14ac:dyDescent="0.3">
      <c r="A76" s="235" t="s">
        <v>211</v>
      </c>
      <c r="B76" s="236">
        <v>6202</v>
      </c>
      <c r="C76" s="228">
        <v>0</v>
      </c>
      <c r="D76" s="228">
        <f t="shared" si="21"/>
        <v>0</v>
      </c>
      <c r="E76" s="233">
        <v>0</v>
      </c>
      <c r="F76" s="229">
        <f t="shared" si="14"/>
        <v>0</v>
      </c>
      <c r="G76" s="230">
        <f t="shared" si="15"/>
        <v>0</v>
      </c>
      <c r="H76" s="188">
        <f t="shared" si="23"/>
        <v>12</v>
      </c>
      <c r="I76" s="188">
        <f t="shared" si="23"/>
        <v>12</v>
      </c>
      <c r="K76" s="224">
        <v>0</v>
      </c>
      <c r="L76" s="231">
        <f t="shared" si="19"/>
        <v>0</v>
      </c>
      <c r="S76" s="236">
        <v>6202</v>
      </c>
      <c r="T76" s="233">
        <v>0</v>
      </c>
      <c r="U76" s="234">
        <f t="shared" si="20"/>
        <v>0</v>
      </c>
    </row>
    <row r="77" spans="1:21" ht="15" thickBot="1" x14ac:dyDescent="0.35">
      <c r="A77" s="235" t="s">
        <v>210</v>
      </c>
      <c r="B77" s="236">
        <v>5046</v>
      </c>
      <c r="C77" s="228">
        <v>0</v>
      </c>
      <c r="D77" s="228">
        <f t="shared" si="21"/>
        <v>0</v>
      </c>
      <c r="E77" s="361">
        <v>0</v>
      </c>
      <c r="F77" s="229">
        <f t="shared" si="14"/>
        <v>0</v>
      </c>
      <c r="G77" s="230">
        <f t="shared" si="15"/>
        <v>0</v>
      </c>
      <c r="H77" s="188">
        <f t="shared" si="23"/>
        <v>12</v>
      </c>
      <c r="I77" s="188">
        <f t="shared" si="23"/>
        <v>12</v>
      </c>
      <c r="K77" s="224">
        <v>0</v>
      </c>
      <c r="L77" s="231">
        <f t="shared" si="19"/>
        <v>0</v>
      </c>
      <c r="S77" s="236">
        <v>5046</v>
      </c>
      <c r="T77" s="233">
        <v>0</v>
      </c>
      <c r="U77" s="234">
        <f t="shared" si="20"/>
        <v>0</v>
      </c>
    </row>
    <row r="78" spans="1:21" ht="15" thickBot="1" x14ac:dyDescent="0.35">
      <c r="A78" s="364" t="s">
        <v>60</v>
      </c>
      <c r="B78" s="240"/>
      <c r="C78" s="365">
        <f>SUM(C41:C77)</f>
        <v>16250</v>
      </c>
      <c r="D78" s="365">
        <f>SUM(D41:D77)</f>
        <v>16250</v>
      </c>
      <c r="E78" s="365">
        <f>SUM(E41:E77)</f>
        <v>19974.299999999996</v>
      </c>
      <c r="F78" s="365">
        <f>SUM(F41:F77)</f>
        <v>-3724.3000000000006</v>
      </c>
      <c r="G78" s="365">
        <f>SUM(G41:G77)</f>
        <v>-3724.3000000000006</v>
      </c>
      <c r="H78" s="190">
        <f>E78+E38</f>
        <v>30546.649999999994</v>
      </c>
      <c r="K78" s="224">
        <v>19050</v>
      </c>
      <c r="L78" s="231">
        <f t="shared" si="19"/>
        <v>-2800</v>
      </c>
      <c r="S78" s="243"/>
      <c r="T78" s="187">
        <f>SUM(T41:T77)</f>
        <v>10994.83</v>
      </c>
      <c r="U78" s="190">
        <f t="shared" si="20"/>
        <v>8979.4699999999957</v>
      </c>
    </row>
    <row r="79" spans="1:21" ht="15" thickBot="1" x14ac:dyDescent="0.35">
      <c r="A79" s="209"/>
      <c r="B79" s="258"/>
      <c r="C79" s="259"/>
      <c r="E79" s="190" t="s">
        <v>131</v>
      </c>
      <c r="F79" s="190"/>
      <c r="G79" s="190"/>
      <c r="K79" s="224"/>
      <c r="L79" s="231">
        <f t="shared" si="19"/>
        <v>0</v>
      </c>
      <c r="S79" s="258"/>
      <c r="U79" s="190"/>
    </row>
    <row r="80" spans="1:21" ht="29.4" thickBot="1" x14ac:dyDescent="0.35">
      <c r="A80" s="364" t="s">
        <v>136</v>
      </c>
      <c r="B80" s="366" t="s">
        <v>2</v>
      </c>
      <c r="C80" s="241" t="str">
        <f>+C40</f>
        <v>Budget 2015-16</v>
      </c>
      <c r="D80" s="241" t="s">
        <v>213</v>
      </c>
      <c r="E80" s="241" t="s">
        <v>184</v>
      </c>
      <c r="F80" s="241" t="s">
        <v>216</v>
      </c>
      <c r="G80" s="367" t="s">
        <v>215</v>
      </c>
      <c r="K80" s="188" t="s">
        <v>303</v>
      </c>
      <c r="L80" s="231"/>
      <c r="S80" s="257"/>
      <c r="U80" s="190"/>
    </row>
    <row r="81" spans="1:21" x14ac:dyDescent="0.3">
      <c r="A81" s="260"/>
      <c r="B81" s="261"/>
      <c r="C81" s="262"/>
      <c r="D81" s="228"/>
      <c r="E81" s="262"/>
      <c r="F81" s="229"/>
      <c r="G81" s="263"/>
      <c r="L81" s="231">
        <f t="shared" ref="L81:L97" si="24">+C81-K81</f>
        <v>0</v>
      </c>
      <c r="S81" s="236"/>
      <c r="T81" s="233"/>
      <c r="U81" s="234">
        <f t="shared" ref="U81:U97" si="25">E81-T81</f>
        <v>0</v>
      </c>
    </row>
    <row r="82" spans="1:21" x14ac:dyDescent="0.3">
      <c r="A82" s="235" t="s">
        <v>179</v>
      </c>
      <c r="B82" s="236">
        <v>5001</v>
      </c>
      <c r="C82" s="400">
        <v>8687</v>
      </c>
      <c r="D82" s="228">
        <f t="shared" ref="D82:D94" si="26">C82/H82*I82</f>
        <v>8687</v>
      </c>
      <c r="E82" s="233">
        <v>8687</v>
      </c>
      <c r="F82" s="229">
        <f t="shared" ref="F82:F94" si="27">C82-E82</f>
        <v>0</v>
      </c>
      <c r="G82" s="230">
        <f t="shared" ref="G82:G94" si="28">D82-E82</f>
        <v>0</v>
      </c>
      <c r="H82" s="188">
        <v>12</v>
      </c>
      <c r="I82" s="188">
        <f>I77</f>
        <v>12</v>
      </c>
      <c r="K82" s="224">
        <v>10000</v>
      </c>
      <c r="L82" s="231">
        <f t="shared" si="24"/>
        <v>-1313</v>
      </c>
      <c r="S82" s="236">
        <v>5001</v>
      </c>
      <c r="T82" s="233">
        <v>4816.7</v>
      </c>
      <c r="U82" s="234">
        <f t="shared" si="25"/>
        <v>3870.3</v>
      </c>
    </row>
    <row r="83" spans="1:21" x14ac:dyDescent="0.3">
      <c r="A83" s="264" t="s">
        <v>208</v>
      </c>
      <c r="B83" s="265">
        <v>5002</v>
      </c>
      <c r="C83" s="401">
        <v>3883.6</v>
      </c>
      <c r="D83" s="228">
        <f t="shared" si="26"/>
        <v>3883.6</v>
      </c>
      <c r="E83" s="233">
        <v>3985.8</v>
      </c>
      <c r="F83" s="229">
        <f t="shared" si="27"/>
        <v>-102.20000000000027</v>
      </c>
      <c r="G83" s="230">
        <f t="shared" si="28"/>
        <v>-102.20000000000027</v>
      </c>
      <c r="H83" s="188">
        <v>12</v>
      </c>
      <c r="I83" s="188">
        <f>I82</f>
        <v>12</v>
      </c>
      <c r="K83" s="224">
        <v>3000</v>
      </c>
      <c r="L83" s="231">
        <f t="shared" si="24"/>
        <v>883.59999999999991</v>
      </c>
      <c r="S83" s="236">
        <v>5002</v>
      </c>
      <c r="T83" s="233">
        <v>1883.67</v>
      </c>
      <c r="U83" s="234">
        <f t="shared" si="25"/>
        <v>2102.13</v>
      </c>
    </row>
    <row r="84" spans="1:21" x14ac:dyDescent="0.3">
      <c r="A84" s="264" t="s">
        <v>171</v>
      </c>
      <c r="B84" s="265">
        <v>5004</v>
      </c>
      <c r="C84" s="401">
        <v>1792.59654</v>
      </c>
      <c r="D84" s="228">
        <f t="shared" si="26"/>
        <v>1792.59654</v>
      </c>
      <c r="E84" s="233">
        <v>1479.41</v>
      </c>
      <c r="F84" s="229">
        <f t="shared" si="27"/>
        <v>313.18653999999992</v>
      </c>
      <c r="G84" s="230">
        <f t="shared" si="28"/>
        <v>313.18653999999992</v>
      </c>
      <c r="H84" s="188">
        <v>12</v>
      </c>
      <c r="I84" s="188">
        <f>I83</f>
        <v>12</v>
      </c>
      <c r="K84" s="224">
        <v>528.93056000000013</v>
      </c>
      <c r="L84" s="231">
        <f t="shared" si="24"/>
        <v>1263.6659799999998</v>
      </c>
      <c r="S84" s="236">
        <v>5004</v>
      </c>
      <c r="T84" s="233">
        <v>692.16</v>
      </c>
      <c r="U84" s="234">
        <f t="shared" si="25"/>
        <v>787.25000000000011</v>
      </c>
    </row>
    <row r="85" spans="1:21" x14ac:dyDescent="0.3">
      <c r="A85" s="264" t="s">
        <v>318</v>
      </c>
      <c r="B85" s="265">
        <v>5005</v>
      </c>
      <c r="C85" s="401">
        <v>9198</v>
      </c>
      <c r="D85" s="228">
        <f t="shared" si="26"/>
        <v>9198</v>
      </c>
      <c r="E85" s="233">
        <v>3688.9</v>
      </c>
      <c r="F85" s="229">
        <f t="shared" si="27"/>
        <v>5509.1</v>
      </c>
      <c r="G85" s="230">
        <f t="shared" si="28"/>
        <v>5509.1</v>
      </c>
      <c r="H85" s="188">
        <v>12</v>
      </c>
      <c r="I85" s="188">
        <f>I84</f>
        <v>12</v>
      </c>
      <c r="K85" s="224">
        <v>10400</v>
      </c>
      <c r="L85" s="231">
        <f t="shared" si="24"/>
        <v>-1202</v>
      </c>
      <c r="S85" s="236">
        <v>5005</v>
      </c>
      <c r="T85" s="233">
        <v>0</v>
      </c>
      <c r="U85" s="234">
        <f t="shared" si="25"/>
        <v>3688.9</v>
      </c>
    </row>
    <row r="86" spans="1:21" x14ac:dyDescent="0.3">
      <c r="A86" s="264" t="s">
        <v>212</v>
      </c>
      <c r="B86" s="265">
        <v>5003</v>
      </c>
      <c r="C86" s="228">
        <v>500</v>
      </c>
      <c r="D86" s="228">
        <f t="shared" si="26"/>
        <v>500</v>
      </c>
      <c r="E86" s="233">
        <v>10037.34</v>
      </c>
      <c r="F86" s="229">
        <f t="shared" si="27"/>
        <v>-9537.34</v>
      </c>
      <c r="G86" s="230">
        <f t="shared" si="28"/>
        <v>-9537.34</v>
      </c>
      <c r="H86" s="188">
        <v>12</v>
      </c>
      <c r="I86" s="188">
        <f>I85</f>
        <v>12</v>
      </c>
      <c r="K86" s="224">
        <v>0</v>
      </c>
      <c r="L86" s="231">
        <f t="shared" si="24"/>
        <v>500</v>
      </c>
      <c r="S86" s="236">
        <v>5003</v>
      </c>
      <c r="T86" s="233">
        <v>5061.42</v>
      </c>
      <c r="U86" s="234">
        <f t="shared" si="25"/>
        <v>4975.92</v>
      </c>
    </row>
    <row r="87" spans="1:21" x14ac:dyDescent="0.3">
      <c r="A87" s="235" t="s">
        <v>61</v>
      </c>
      <c r="B87" s="265">
        <v>5020</v>
      </c>
      <c r="C87" s="228">
        <v>0</v>
      </c>
      <c r="D87" s="228">
        <f t="shared" si="26"/>
        <v>0</v>
      </c>
      <c r="E87" s="233">
        <v>18.75</v>
      </c>
      <c r="F87" s="229">
        <f t="shared" si="27"/>
        <v>-18.75</v>
      </c>
      <c r="G87" s="230">
        <f t="shared" si="28"/>
        <v>-18.75</v>
      </c>
      <c r="H87" s="188">
        <v>12</v>
      </c>
      <c r="I87" s="188">
        <f>I84</f>
        <v>12</v>
      </c>
      <c r="K87" s="224">
        <v>0</v>
      </c>
      <c r="L87" s="231">
        <f t="shared" si="24"/>
        <v>0</v>
      </c>
      <c r="S87" s="236">
        <v>5020</v>
      </c>
      <c r="T87" s="233">
        <v>0</v>
      </c>
      <c r="U87" s="234">
        <f t="shared" si="25"/>
        <v>18.75</v>
      </c>
    </row>
    <row r="88" spans="1:21" x14ac:dyDescent="0.3">
      <c r="A88" s="235" t="s">
        <v>62</v>
      </c>
      <c r="B88" s="236">
        <v>5030</v>
      </c>
      <c r="C88" s="228">
        <v>459.89999999999964</v>
      </c>
      <c r="D88" s="228">
        <f t="shared" si="26"/>
        <v>459.89999999999964</v>
      </c>
      <c r="E88" s="233">
        <v>0</v>
      </c>
      <c r="F88" s="229">
        <f t="shared" si="27"/>
        <v>459.89999999999964</v>
      </c>
      <c r="G88" s="230">
        <f t="shared" si="28"/>
        <v>459.89999999999964</v>
      </c>
      <c r="H88" s="188">
        <v>12</v>
      </c>
      <c r="I88" s="188">
        <f t="shared" ref="I88:I95" si="29">I87</f>
        <v>12</v>
      </c>
      <c r="K88" s="224">
        <v>0</v>
      </c>
      <c r="L88" s="231">
        <f t="shared" si="24"/>
        <v>459.89999999999964</v>
      </c>
      <c r="S88" s="236">
        <v>5030</v>
      </c>
      <c r="T88" s="233">
        <v>0</v>
      </c>
      <c r="U88" s="234">
        <f t="shared" si="25"/>
        <v>0</v>
      </c>
    </row>
    <row r="89" spans="1:21" x14ac:dyDescent="0.3">
      <c r="A89" s="235" t="s">
        <v>140</v>
      </c>
      <c r="B89" s="236">
        <v>5042</v>
      </c>
      <c r="C89" s="402">
        <v>2650.5330000000004</v>
      </c>
      <c r="D89" s="228">
        <f t="shared" si="26"/>
        <v>2650.5330000000004</v>
      </c>
      <c r="E89" s="233">
        <v>2939.25</v>
      </c>
      <c r="F89" s="229">
        <f t="shared" si="27"/>
        <v>-288.71699999999964</v>
      </c>
      <c r="G89" s="230">
        <f t="shared" si="28"/>
        <v>-288.71699999999964</v>
      </c>
      <c r="H89" s="188">
        <v>12</v>
      </c>
      <c r="I89" s="188">
        <f t="shared" si="29"/>
        <v>12</v>
      </c>
      <c r="K89" s="224">
        <v>1800</v>
      </c>
      <c r="L89" s="231">
        <f t="shared" si="24"/>
        <v>850.53300000000036</v>
      </c>
      <c r="S89" s="236">
        <v>5042</v>
      </c>
      <c r="T89" s="233">
        <v>963</v>
      </c>
      <c r="U89" s="234">
        <f t="shared" si="25"/>
        <v>1976.25</v>
      </c>
    </row>
    <row r="90" spans="1:21" x14ac:dyDescent="0.3">
      <c r="A90" s="235" t="s">
        <v>63</v>
      </c>
      <c r="B90" s="236">
        <v>5043</v>
      </c>
      <c r="C90" s="402">
        <v>14999.687635789584</v>
      </c>
      <c r="D90" s="228">
        <f t="shared" si="26"/>
        <v>14999.687635789584</v>
      </c>
      <c r="E90" s="233">
        <v>16767.18</v>
      </c>
      <c r="F90" s="229">
        <f t="shared" si="27"/>
        <v>-1767.4923642104168</v>
      </c>
      <c r="G90" s="230">
        <f t="shared" si="28"/>
        <v>-1767.4923642104168</v>
      </c>
      <c r="H90" s="188">
        <v>12</v>
      </c>
      <c r="I90" s="188">
        <f t="shared" si="29"/>
        <v>12</v>
      </c>
      <c r="K90" s="224">
        <v>10142.688100000001</v>
      </c>
      <c r="L90" s="231">
        <f t="shared" si="24"/>
        <v>4856.9995357895823</v>
      </c>
      <c r="S90" s="236">
        <v>5043</v>
      </c>
      <c r="T90" s="233">
        <v>7022.08</v>
      </c>
      <c r="U90" s="234">
        <f t="shared" si="25"/>
        <v>9745.1</v>
      </c>
    </row>
    <row r="91" spans="1:21" x14ac:dyDescent="0.3">
      <c r="A91" s="235" t="s">
        <v>64</v>
      </c>
      <c r="B91" s="236">
        <v>5045</v>
      </c>
      <c r="C91" s="402">
        <v>2000</v>
      </c>
      <c r="D91" s="228">
        <f t="shared" si="26"/>
        <v>2000</v>
      </c>
      <c r="E91" s="233">
        <v>2500</v>
      </c>
      <c r="F91" s="229">
        <f t="shared" si="27"/>
        <v>-500</v>
      </c>
      <c r="G91" s="230">
        <f t="shared" si="28"/>
        <v>-500</v>
      </c>
      <c r="H91" s="188">
        <v>12</v>
      </c>
      <c r="I91" s="188">
        <f t="shared" si="29"/>
        <v>12</v>
      </c>
      <c r="K91" s="224">
        <v>2500</v>
      </c>
      <c r="L91" s="231">
        <f t="shared" si="24"/>
        <v>-500</v>
      </c>
      <c r="S91" s="236">
        <v>5045</v>
      </c>
      <c r="T91" s="233">
        <v>8164.4</v>
      </c>
      <c r="U91" s="234">
        <f t="shared" si="25"/>
        <v>-5664.4</v>
      </c>
    </row>
    <row r="92" spans="1:21" x14ac:dyDescent="0.3">
      <c r="A92" s="235" t="s">
        <v>65</v>
      </c>
      <c r="B92" s="236">
        <v>8050</v>
      </c>
      <c r="C92" s="402">
        <v>1200</v>
      </c>
      <c r="D92" s="228">
        <f t="shared" si="26"/>
        <v>1200</v>
      </c>
      <c r="E92" s="233">
        <v>471.86</v>
      </c>
      <c r="F92" s="229">
        <f t="shared" si="27"/>
        <v>728.14</v>
      </c>
      <c r="G92" s="230">
        <f t="shared" si="28"/>
        <v>728.14</v>
      </c>
      <c r="H92" s="188">
        <v>12</v>
      </c>
      <c r="I92" s="188">
        <f t="shared" si="29"/>
        <v>12</v>
      </c>
      <c r="K92" s="224">
        <v>1200</v>
      </c>
      <c r="L92" s="231">
        <f t="shared" si="24"/>
        <v>0</v>
      </c>
      <c r="S92" s="236">
        <v>8050</v>
      </c>
      <c r="T92" s="233">
        <v>139</v>
      </c>
      <c r="U92" s="234">
        <f t="shared" si="25"/>
        <v>332.86</v>
      </c>
    </row>
    <row r="93" spans="1:21" x14ac:dyDescent="0.3">
      <c r="A93" s="235" t="s">
        <v>93</v>
      </c>
      <c r="B93" s="236">
        <v>8056</v>
      </c>
      <c r="C93" s="402">
        <v>100</v>
      </c>
      <c r="D93" s="228">
        <f t="shared" si="26"/>
        <v>100</v>
      </c>
      <c r="E93" s="233">
        <v>0</v>
      </c>
      <c r="F93" s="229">
        <f t="shared" si="27"/>
        <v>100</v>
      </c>
      <c r="G93" s="230">
        <f t="shared" si="28"/>
        <v>100</v>
      </c>
      <c r="H93" s="188">
        <v>12</v>
      </c>
      <c r="I93" s="188">
        <f t="shared" si="29"/>
        <v>12</v>
      </c>
      <c r="K93" s="224">
        <v>0</v>
      </c>
      <c r="L93" s="231">
        <f t="shared" si="24"/>
        <v>100</v>
      </c>
      <c r="S93" s="236">
        <v>8056</v>
      </c>
      <c r="T93" s="233">
        <v>0</v>
      </c>
      <c r="U93" s="234">
        <f t="shared" si="25"/>
        <v>0</v>
      </c>
    </row>
    <row r="94" spans="1:21" x14ac:dyDescent="0.3">
      <c r="A94" s="235" t="s">
        <v>66</v>
      </c>
      <c r="B94" s="236">
        <v>7120</v>
      </c>
      <c r="C94" s="228">
        <v>0</v>
      </c>
      <c r="D94" s="228">
        <f t="shared" si="26"/>
        <v>0</v>
      </c>
      <c r="E94" s="233">
        <v>39.770000000000003</v>
      </c>
      <c r="F94" s="229">
        <f t="shared" si="27"/>
        <v>-39.770000000000003</v>
      </c>
      <c r="G94" s="230">
        <f t="shared" si="28"/>
        <v>-39.770000000000003</v>
      </c>
      <c r="H94" s="188">
        <v>12</v>
      </c>
      <c r="I94" s="188">
        <f t="shared" si="29"/>
        <v>12</v>
      </c>
      <c r="J94" s="188" t="s">
        <v>131</v>
      </c>
      <c r="K94" s="224">
        <v>250</v>
      </c>
      <c r="L94" s="231">
        <f t="shared" si="24"/>
        <v>-250</v>
      </c>
      <c r="S94" s="236">
        <v>7120</v>
      </c>
      <c r="T94" s="233">
        <v>83.32</v>
      </c>
      <c r="U94" s="234">
        <f t="shared" si="25"/>
        <v>-43.54999999999999</v>
      </c>
    </row>
    <row r="95" spans="1:21" ht="15" thickBot="1" x14ac:dyDescent="0.35">
      <c r="B95" s="189"/>
      <c r="C95" s="358"/>
      <c r="D95" s="187"/>
      <c r="E95" s="187"/>
      <c r="F95" s="229"/>
      <c r="G95" s="230"/>
      <c r="I95" s="188">
        <f t="shared" si="29"/>
        <v>12</v>
      </c>
      <c r="K95" s="224"/>
      <c r="L95" s="231">
        <f t="shared" si="24"/>
        <v>0</v>
      </c>
      <c r="S95" s="189"/>
      <c r="U95" s="190">
        <f t="shared" si="25"/>
        <v>0</v>
      </c>
    </row>
    <row r="96" spans="1:21" ht="15" thickBot="1" x14ac:dyDescent="0.35">
      <c r="A96" s="364" t="s">
        <v>60</v>
      </c>
      <c r="B96" s="240"/>
      <c r="C96" s="266">
        <f>SUM(C82:C95)</f>
        <v>45471.317175789583</v>
      </c>
      <c r="D96" s="266">
        <f>SUM(D82:D95)</f>
        <v>45471.317175789583</v>
      </c>
      <c r="E96" s="266">
        <f>SUM(E82:E95)</f>
        <v>50615.26</v>
      </c>
      <c r="F96" s="266">
        <f>SUM(F82:F95)</f>
        <v>-5143.9428242104168</v>
      </c>
      <c r="G96" s="266">
        <f>SUM(G82:G95)</f>
        <v>-5143.9428242104168</v>
      </c>
      <c r="H96" s="190">
        <f>E96+E78</f>
        <v>70589.56</v>
      </c>
      <c r="K96" s="224">
        <v>39821.61866</v>
      </c>
      <c r="L96" s="231">
        <f t="shared" si="24"/>
        <v>5649.6985157895833</v>
      </c>
      <c r="S96" s="240"/>
      <c r="T96" s="187">
        <f>SUM(T82:T95)</f>
        <v>28825.75</v>
      </c>
      <c r="U96" s="190">
        <f t="shared" si="25"/>
        <v>21789.510000000002</v>
      </c>
    </row>
    <row r="97" spans="1:21" ht="15" thickBot="1" x14ac:dyDescent="0.35">
      <c r="A97" s="209"/>
      <c r="B97" s="258"/>
      <c r="C97" s="259"/>
      <c r="E97" s="190" t="s">
        <v>131</v>
      </c>
      <c r="J97" s="188" t="s">
        <v>131</v>
      </c>
      <c r="L97" s="231">
        <f t="shared" si="24"/>
        <v>0</v>
      </c>
      <c r="S97" s="258"/>
      <c r="U97" s="190" t="e">
        <f t="shared" si="25"/>
        <v>#VALUE!</v>
      </c>
    </row>
    <row r="98" spans="1:21" ht="29.4" thickBot="1" x14ac:dyDescent="0.35">
      <c r="A98" s="364" t="s">
        <v>141</v>
      </c>
      <c r="B98" s="366" t="s">
        <v>2</v>
      </c>
      <c r="C98" s="368" t="str">
        <f>+C80</f>
        <v>Budget 2015-16</v>
      </c>
      <c r="D98" s="241" t="s">
        <v>213</v>
      </c>
      <c r="E98" s="368" t="s">
        <v>184</v>
      </c>
      <c r="F98" s="241" t="s">
        <v>216</v>
      </c>
      <c r="G98" s="367" t="s">
        <v>215</v>
      </c>
      <c r="K98" s="188" t="s">
        <v>303</v>
      </c>
      <c r="L98" s="231"/>
      <c r="S98" s="257"/>
      <c r="U98" s="190"/>
    </row>
    <row r="99" spans="1:21" x14ac:dyDescent="0.3">
      <c r="A99" s="235" t="s">
        <v>67</v>
      </c>
      <c r="B99" s="236">
        <v>7000</v>
      </c>
      <c r="C99" s="403">
        <v>2850</v>
      </c>
      <c r="D99" s="228">
        <f t="shared" ref="D99:D127" si="30">C99/H99*I99</f>
        <v>2850</v>
      </c>
      <c r="E99" s="362">
        <v>3312.54</v>
      </c>
      <c r="F99" s="229">
        <f t="shared" ref="F99:F127" si="31">C99-E99</f>
        <v>-462.53999999999996</v>
      </c>
      <c r="G99" s="230">
        <f t="shared" ref="G99:G127" si="32">D99-E99</f>
        <v>-462.53999999999996</v>
      </c>
      <c r="H99" s="188">
        <v>12</v>
      </c>
      <c r="I99" s="188">
        <f>+I95</f>
        <v>12</v>
      </c>
      <c r="K99" s="224">
        <v>0</v>
      </c>
      <c r="L99" s="231">
        <f t="shared" ref="L99:L127" si="33">+C99-K99</f>
        <v>2850</v>
      </c>
      <c r="S99" s="236">
        <v>7000</v>
      </c>
      <c r="T99" s="233">
        <v>1650</v>
      </c>
      <c r="U99" s="234">
        <f t="shared" ref="U99:U132" si="34">E99-T99</f>
        <v>1662.54</v>
      </c>
    </row>
    <row r="100" spans="1:21" x14ac:dyDescent="0.3">
      <c r="A100" s="235" t="s">
        <v>68</v>
      </c>
      <c r="B100" s="236">
        <v>7001</v>
      </c>
      <c r="C100" s="403">
        <v>100</v>
      </c>
      <c r="D100" s="228">
        <f t="shared" si="30"/>
        <v>100</v>
      </c>
      <c r="E100" s="362">
        <v>120.05</v>
      </c>
      <c r="F100" s="229">
        <f t="shared" si="31"/>
        <v>-20.049999999999997</v>
      </c>
      <c r="G100" s="230">
        <f t="shared" si="32"/>
        <v>-20.049999999999997</v>
      </c>
      <c r="H100" s="188">
        <v>12</v>
      </c>
      <c r="I100" s="188">
        <f>I101</f>
        <v>12</v>
      </c>
      <c r="K100" s="224">
        <v>150</v>
      </c>
      <c r="L100" s="231">
        <f t="shared" si="33"/>
        <v>-50</v>
      </c>
      <c r="S100" s="236">
        <v>7001</v>
      </c>
      <c r="T100" s="233">
        <v>101.52</v>
      </c>
      <c r="U100" s="234">
        <f t="shared" si="34"/>
        <v>18.53</v>
      </c>
    </row>
    <row r="101" spans="1:21" x14ac:dyDescent="0.3">
      <c r="A101" s="235" t="s">
        <v>69</v>
      </c>
      <c r="B101" s="236">
        <v>7002</v>
      </c>
      <c r="C101" s="403">
        <v>1000</v>
      </c>
      <c r="D101" s="228">
        <f t="shared" si="30"/>
        <v>1000</v>
      </c>
      <c r="E101" s="362">
        <v>601.46</v>
      </c>
      <c r="F101" s="229">
        <f t="shared" si="31"/>
        <v>398.53999999999996</v>
      </c>
      <c r="G101" s="230">
        <f t="shared" si="32"/>
        <v>398.53999999999996</v>
      </c>
      <c r="H101" s="188">
        <v>12</v>
      </c>
      <c r="I101" s="202">
        <v>12</v>
      </c>
      <c r="K101" s="224">
        <v>600</v>
      </c>
      <c r="L101" s="231">
        <f t="shared" si="33"/>
        <v>400</v>
      </c>
      <c r="S101" s="236">
        <v>7002</v>
      </c>
      <c r="T101" s="233">
        <v>528.26</v>
      </c>
      <c r="U101" s="234">
        <f t="shared" si="34"/>
        <v>73.200000000000045</v>
      </c>
    </row>
    <row r="102" spans="1:21" x14ac:dyDescent="0.3">
      <c r="A102" s="235" t="s">
        <v>70</v>
      </c>
      <c r="B102" s="236">
        <v>7010</v>
      </c>
      <c r="C102" s="403">
        <v>1650</v>
      </c>
      <c r="D102" s="228">
        <f t="shared" si="30"/>
        <v>1650</v>
      </c>
      <c r="E102" s="362">
        <v>1736.76</v>
      </c>
      <c r="F102" s="229">
        <f t="shared" si="31"/>
        <v>-86.759999999999991</v>
      </c>
      <c r="G102" s="230">
        <f t="shared" si="32"/>
        <v>-86.759999999999991</v>
      </c>
      <c r="H102" s="188">
        <v>12</v>
      </c>
      <c r="I102" s="202">
        <f>I99</f>
        <v>12</v>
      </c>
      <c r="K102" s="224">
        <v>500</v>
      </c>
      <c r="L102" s="231">
        <f t="shared" si="33"/>
        <v>1150</v>
      </c>
      <c r="S102" s="236">
        <v>7010</v>
      </c>
      <c r="T102" s="233">
        <v>526.75</v>
      </c>
      <c r="U102" s="234">
        <f t="shared" si="34"/>
        <v>1210.01</v>
      </c>
    </row>
    <row r="103" spans="1:21" x14ac:dyDescent="0.3">
      <c r="A103" s="235" t="s">
        <v>71</v>
      </c>
      <c r="B103" s="236">
        <v>7020</v>
      </c>
      <c r="C103" s="403">
        <v>900</v>
      </c>
      <c r="D103" s="228">
        <f t="shared" si="30"/>
        <v>900</v>
      </c>
      <c r="E103" s="362">
        <v>2388.8000000000002</v>
      </c>
      <c r="F103" s="229">
        <f t="shared" si="31"/>
        <v>-1488.8000000000002</v>
      </c>
      <c r="G103" s="230">
        <f t="shared" si="32"/>
        <v>-1488.8000000000002</v>
      </c>
      <c r="H103" s="188">
        <v>12</v>
      </c>
      <c r="I103" s="204">
        <v>12</v>
      </c>
      <c r="K103" s="224">
        <v>1200</v>
      </c>
      <c r="L103" s="231">
        <f t="shared" si="33"/>
        <v>-300</v>
      </c>
      <c r="S103" s="236">
        <v>7020</v>
      </c>
      <c r="T103" s="233">
        <v>437.99</v>
      </c>
      <c r="U103" s="234">
        <f t="shared" si="34"/>
        <v>1950.8100000000002</v>
      </c>
    </row>
    <row r="104" spans="1:21" x14ac:dyDescent="0.3">
      <c r="A104" s="235" t="s">
        <v>177</v>
      </c>
      <c r="B104" s="236">
        <v>7021</v>
      </c>
      <c r="C104" s="403">
        <v>175</v>
      </c>
      <c r="D104" s="228">
        <f t="shared" si="30"/>
        <v>175</v>
      </c>
      <c r="E104" s="362">
        <v>0</v>
      </c>
      <c r="F104" s="229">
        <f t="shared" si="31"/>
        <v>175</v>
      </c>
      <c r="G104" s="230">
        <f t="shared" si="32"/>
        <v>175</v>
      </c>
      <c r="H104" s="188">
        <v>12</v>
      </c>
      <c r="I104" s="188">
        <f>I103</f>
        <v>12</v>
      </c>
      <c r="K104" s="224">
        <v>0</v>
      </c>
      <c r="L104" s="231">
        <f t="shared" si="33"/>
        <v>175</v>
      </c>
      <c r="S104" s="236">
        <v>7021</v>
      </c>
      <c r="T104" s="233">
        <v>100</v>
      </c>
      <c r="U104" s="234">
        <f t="shared" si="34"/>
        <v>-100</v>
      </c>
    </row>
    <row r="105" spans="1:21" x14ac:dyDescent="0.3">
      <c r="A105" s="235" t="s">
        <v>72</v>
      </c>
      <c r="B105" s="236">
        <v>7030</v>
      </c>
      <c r="C105" s="403">
        <v>200</v>
      </c>
      <c r="D105" s="228">
        <f t="shared" si="30"/>
        <v>200</v>
      </c>
      <c r="E105" s="362">
        <v>340.98</v>
      </c>
      <c r="F105" s="229">
        <f t="shared" si="31"/>
        <v>-140.98000000000002</v>
      </c>
      <c r="G105" s="230">
        <f t="shared" si="32"/>
        <v>-140.98000000000002</v>
      </c>
      <c r="H105" s="188">
        <v>12</v>
      </c>
      <c r="I105" s="188">
        <f>I103</f>
        <v>12</v>
      </c>
      <c r="K105" s="224">
        <v>200</v>
      </c>
      <c r="L105" s="231">
        <f t="shared" si="33"/>
        <v>0</v>
      </c>
      <c r="S105" s="236">
        <v>7030</v>
      </c>
      <c r="T105" s="233">
        <v>102.46</v>
      </c>
      <c r="U105" s="234">
        <f t="shared" si="34"/>
        <v>238.52000000000004</v>
      </c>
    </row>
    <row r="106" spans="1:21" x14ac:dyDescent="0.3">
      <c r="A106" s="235" t="s">
        <v>73</v>
      </c>
      <c r="B106" s="236">
        <v>7031</v>
      </c>
      <c r="C106" s="403">
        <v>300</v>
      </c>
      <c r="D106" s="228">
        <f t="shared" si="30"/>
        <v>300</v>
      </c>
      <c r="E106" s="362">
        <v>473.14</v>
      </c>
      <c r="F106" s="229">
        <f t="shared" si="31"/>
        <v>-173.14</v>
      </c>
      <c r="G106" s="230">
        <f t="shared" si="32"/>
        <v>-173.14</v>
      </c>
      <c r="H106" s="188">
        <v>12</v>
      </c>
      <c r="I106" s="188">
        <f t="shared" ref="I106:I121" si="35">I105</f>
        <v>12</v>
      </c>
      <c r="K106" s="224">
        <v>120</v>
      </c>
      <c r="L106" s="231">
        <f t="shared" si="33"/>
        <v>180</v>
      </c>
      <c r="S106" s="236">
        <v>7031</v>
      </c>
      <c r="T106" s="233">
        <v>100</v>
      </c>
      <c r="U106" s="234">
        <f t="shared" si="34"/>
        <v>373.14</v>
      </c>
    </row>
    <row r="107" spans="1:21" x14ac:dyDescent="0.3">
      <c r="A107" s="235" t="s">
        <v>74</v>
      </c>
      <c r="B107" s="236">
        <v>7032</v>
      </c>
      <c r="C107" s="403">
        <v>800</v>
      </c>
      <c r="D107" s="228">
        <f t="shared" si="30"/>
        <v>800</v>
      </c>
      <c r="E107" s="362">
        <v>318.47000000000003</v>
      </c>
      <c r="F107" s="229">
        <f t="shared" si="31"/>
        <v>481.53</v>
      </c>
      <c r="G107" s="230">
        <f t="shared" si="32"/>
        <v>481.53</v>
      </c>
      <c r="H107" s="188">
        <v>12</v>
      </c>
      <c r="I107" s="188">
        <f t="shared" si="35"/>
        <v>12</v>
      </c>
      <c r="K107" s="224">
        <v>600</v>
      </c>
      <c r="L107" s="231">
        <f t="shared" si="33"/>
        <v>200</v>
      </c>
      <c r="S107" s="236">
        <v>7032</v>
      </c>
      <c r="T107" s="233">
        <v>513.1</v>
      </c>
      <c r="U107" s="234">
        <f t="shared" si="34"/>
        <v>-194.63</v>
      </c>
    </row>
    <row r="108" spans="1:21" x14ac:dyDescent="0.3">
      <c r="A108" s="235" t="s">
        <v>75</v>
      </c>
      <c r="B108" s="236">
        <v>7005</v>
      </c>
      <c r="C108" s="228">
        <v>0</v>
      </c>
      <c r="D108" s="228">
        <f t="shared" si="30"/>
        <v>0</v>
      </c>
      <c r="E108" s="362">
        <v>0</v>
      </c>
      <c r="F108" s="229">
        <f t="shared" si="31"/>
        <v>0</v>
      </c>
      <c r="G108" s="230">
        <f t="shared" si="32"/>
        <v>0</v>
      </c>
      <c r="H108" s="188">
        <v>12</v>
      </c>
      <c r="I108" s="188">
        <f t="shared" si="35"/>
        <v>12</v>
      </c>
      <c r="K108" s="224">
        <v>0</v>
      </c>
      <c r="L108" s="231">
        <f t="shared" si="33"/>
        <v>0</v>
      </c>
      <c r="S108" s="236">
        <v>7005</v>
      </c>
      <c r="T108" s="233">
        <v>0</v>
      </c>
      <c r="U108" s="234">
        <f t="shared" si="34"/>
        <v>0</v>
      </c>
    </row>
    <row r="109" spans="1:21" x14ac:dyDescent="0.3">
      <c r="A109" s="235" t="s">
        <v>76</v>
      </c>
      <c r="B109" s="236">
        <v>7040</v>
      </c>
      <c r="C109" s="228">
        <v>0</v>
      </c>
      <c r="D109" s="228">
        <f t="shared" si="30"/>
        <v>0</v>
      </c>
      <c r="E109" s="362">
        <v>280</v>
      </c>
      <c r="F109" s="229">
        <f t="shared" si="31"/>
        <v>-280</v>
      </c>
      <c r="G109" s="230">
        <f t="shared" si="32"/>
        <v>-280</v>
      </c>
      <c r="H109" s="188">
        <v>12</v>
      </c>
      <c r="I109" s="188">
        <f t="shared" si="35"/>
        <v>12</v>
      </c>
      <c r="K109" s="224">
        <v>40</v>
      </c>
      <c r="L109" s="231">
        <f t="shared" si="33"/>
        <v>-40</v>
      </c>
      <c r="S109" s="236">
        <v>7040</v>
      </c>
      <c r="T109" s="233">
        <v>0</v>
      </c>
      <c r="U109" s="234">
        <f t="shared" si="34"/>
        <v>280</v>
      </c>
    </row>
    <row r="110" spans="1:21" x14ac:dyDescent="0.3">
      <c r="A110" s="235" t="s">
        <v>77</v>
      </c>
      <c r="B110" s="236">
        <v>7050</v>
      </c>
      <c r="C110" s="228">
        <v>0</v>
      </c>
      <c r="D110" s="228">
        <f t="shared" si="30"/>
        <v>0</v>
      </c>
      <c r="E110" s="362">
        <v>0</v>
      </c>
      <c r="F110" s="229">
        <f t="shared" si="31"/>
        <v>0</v>
      </c>
      <c r="G110" s="230">
        <f t="shared" si="32"/>
        <v>0</v>
      </c>
      <c r="H110" s="188">
        <v>12</v>
      </c>
      <c r="I110" s="188">
        <f t="shared" si="35"/>
        <v>12</v>
      </c>
      <c r="K110" s="224">
        <v>0</v>
      </c>
      <c r="L110" s="231">
        <f t="shared" si="33"/>
        <v>0</v>
      </c>
      <c r="S110" s="236">
        <v>7050</v>
      </c>
      <c r="T110" s="233">
        <v>0</v>
      </c>
      <c r="U110" s="234">
        <f t="shared" si="34"/>
        <v>0</v>
      </c>
    </row>
    <row r="111" spans="1:21" x14ac:dyDescent="0.3">
      <c r="A111" s="235" t="s">
        <v>78</v>
      </c>
      <c r="B111" s="236">
        <v>7060</v>
      </c>
      <c r="C111" s="228">
        <v>100</v>
      </c>
      <c r="D111" s="228">
        <f t="shared" si="30"/>
        <v>100</v>
      </c>
      <c r="E111" s="362">
        <v>82.47</v>
      </c>
      <c r="F111" s="229">
        <f t="shared" si="31"/>
        <v>17.53</v>
      </c>
      <c r="G111" s="230">
        <f t="shared" si="32"/>
        <v>17.53</v>
      </c>
      <c r="H111" s="188">
        <v>12</v>
      </c>
      <c r="I111" s="188">
        <f t="shared" si="35"/>
        <v>12</v>
      </c>
      <c r="K111" s="224">
        <v>200</v>
      </c>
      <c r="L111" s="231">
        <f t="shared" si="33"/>
        <v>-100</v>
      </c>
      <c r="S111" s="236">
        <v>7060</v>
      </c>
      <c r="T111" s="233">
        <v>28.87</v>
      </c>
      <c r="U111" s="234">
        <f t="shared" si="34"/>
        <v>53.599999999999994</v>
      </c>
    </row>
    <row r="112" spans="1:21" x14ac:dyDescent="0.3">
      <c r="A112" s="235" t="s">
        <v>79</v>
      </c>
      <c r="B112" s="236">
        <v>7065</v>
      </c>
      <c r="C112" s="228">
        <v>0</v>
      </c>
      <c r="D112" s="228">
        <f t="shared" si="30"/>
        <v>0</v>
      </c>
      <c r="E112" s="362">
        <v>0</v>
      </c>
      <c r="F112" s="229">
        <f t="shared" si="31"/>
        <v>0</v>
      </c>
      <c r="G112" s="230">
        <f t="shared" si="32"/>
        <v>0</v>
      </c>
      <c r="H112" s="188">
        <v>12</v>
      </c>
      <c r="I112" s="188">
        <f t="shared" si="35"/>
        <v>12</v>
      </c>
      <c r="K112" s="224">
        <v>0</v>
      </c>
      <c r="L112" s="231">
        <f t="shared" si="33"/>
        <v>0</v>
      </c>
      <c r="S112" s="236">
        <v>7065</v>
      </c>
      <c r="T112" s="233">
        <v>0</v>
      </c>
      <c r="U112" s="234">
        <f t="shared" si="34"/>
        <v>0</v>
      </c>
    </row>
    <row r="113" spans="1:21" x14ac:dyDescent="0.3">
      <c r="A113" s="235" t="s">
        <v>80</v>
      </c>
      <c r="B113" s="236">
        <v>7070</v>
      </c>
      <c r="C113" s="404">
        <v>1900</v>
      </c>
      <c r="D113" s="228">
        <f t="shared" si="30"/>
        <v>1900</v>
      </c>
      <c r="E113" s="362">
        <v>1319.73</v>
      </c>
      <c r="F113" s="229">
        <f t="shared" si="31"/>
        <v>580.27</v>
      </c>
      <c r="G113" s="230">
        <f t="shared" si="32"/>
        <v>580.27</v>
      </c>
      <c r="H113" s="188">
        <v>12</v>
      </c>
      <c r="I113" s="188">
        <f t="shared" si="35"/>
        <v>12</v>
      </c>
      <c r="K113" s="224">
        <v>700</v>
      </c>
      <c r="L113" s="231">
        <f t="shared" si="33"/>
        <v>1200</v>
      </c>
      <c r="S113" s="236">
        <v>7070</v>
      </c>
      <c r="T113" s="233">
        <v>371.54</v>
      </c>
      <c r="U113" s="234">
        <f t="shared" si="34"/>
        <v>948.19</v>
      </c>
    </row>
    <row r="114" spans="1:21" x14ac:dyDescent="0.3">
      <c r="A114" s="235" t="s">
        <v>81</v>
      </c>
      <c r="B114" s="236">
        <v>7075</v>
      </c>
      <c r="C114" s="404">
        <v>100</v>
      </c>
      <c r="D114" s="228">
        <f t="shared" si="30"/>
        <v>100</v>
      </c>
      <c r="E114" s="362">
        <v>42.18</v>
      </c>
      <c r="F114" s="229">
        <f t="shared" si="31"/>
        <v>57.82</v>
      </c>
      <c r="G114" s="230">
        <f t="shared" si="32"/>
        <v>57.82</v>
      </c>
      <c r="H114" s="188">
        <v>12</v>
      </c>
      <c r="I114" s="188">
        <f t="shared" si="35"/>
        <v>12</v>
      </c>
      <c r="K114" s="224">
        <v>100</v>
      </c>
      <c r="L114" s="231">
        <f t="shared" si="33"/>
        <v>0</v>
      </c>
      <c r="S114" s="236">
        <v>7075</v>
      </c>
      <c r="T114" s="233">
        <v>0</v>
      </c>
      <c r="U114" s="234">
        <f t="shared" si="34"/>
        <v>42.18</v>
      </c>
    </row>
    <row r="115" spans="1:21" x14ac:dyDescent="0.3">
      <c r="A115" s="235" t="s">
        <v>82</v>
      </c>
      <c r="B115" s="236">
        <v>7080</v>
      </c>
      <c r="C115" s="404">
        <v>150</v>
      </c>
      <c r="D115" s="228">
        <f t="shared" si="30"/>
        <v>150</v>
      </c>
      <c r="E115" s="362">
        <v>420</v>
      </c>
      <c r="F115" s="229">
        <f t="shared" si="31"/>
        <v>-270</v>
      </c>
      <c r="G115" s="230">
        <f t="shared" si="32"/>
        <v>-270</v>
      </c>
      <c r="H115" s="188">
        <v>12</v>
      </c>
      <c r="I115" s="188">
        <f t="shared" si="35"/>
        <v>12</v>
      </c>
      <c r="K115" s="224">
        <v>150</v>
      </c>
      <c r="L115" s="231">
        <f t="shared" si="33"/>
        <v>0</v>
      </c>
      <c r="S115" s="236">
        <v>7080</v>
      </c>
      <c r="T115" s="233">
        <v>0</v>
      </c>
      <c r="U115" s="234">
        <f t="shared" si="34"/>
        <v>420</v>
      </c>
    </row>
    <row r="116" spans="1:21" x14ac:dyDescent="0.3">
      <c r="A116" s="235" t="s">
        <v>83</v>
      </c>
      <c r="B116" s="236">
        <v>7130</v>
      </c>
      <c r="C116" s="404">
        <v>100</v>
      </c>
      <c r="D116" s="228">
        <f t="shared" si="30"/>
        <v>100</v>
      </c>
      <c r="E116" s="362">
        <v>47.03</v>
      </c>
      <c r="F116" s="229">
        <f t="shared" si="31"/>
        <v>52.97</v>
      </c>
      <c r="G116" s="230">
        <f t="shared" si="32"/>
        <v>52.97</v>
      </c>
      <c r="H116" s="188">
        <v>12</v>
      </c>
      <c r="I116" s="188">
        <f t="shared" si="35"/>
        <v>12</v>
      </c>
      <c r="K116" s="224">
        <v>100</v>
      </c>
      <c r="L116" s="231">
        <f t="shared" si="33"/>
        <v>0</v>
      </c>
      <c r="S116" s="236">
        <v>7130</v>
      </c>
      <c r="T116" s="233">
        <v>0</v>
      </c>
      <c r="U116" s="234">
        <f t="shared" si="34"/>
        <v>47.03</v>
      </c>
    </row>
    <row r="117" spans="1:21" x14ac:dyDescent="0.3">
      <c r="A117" s="235" t="s">
        <v>84</v>
      </c>
      <c r="B117" s="236">
        <v>7131</v>
      </c>
      <c r="C117" s="404">
        <v>100</v>
      </c>
      <c r="D117" s="228">
        <f t="shared" si="30"/>
        <v>100</v>
      </c>
      <c r="E117" s="362">
        <v>0</v>
      </c>
      <c r="F117" s="229">
        <f t="shared" si="31"/>
        <v>100</v>
      </c>
      <c r="G117" s="230">
        <f t="shared" si="32"/>
        <v>100</v>
      </c>
      <c r="H117" s="188">
        <v>12</v>
      </c>
      <c r="I117" s="188">
        <f t="shared" si="35"/>
        <v>12</v>
      </c>
      <c r="K117" s="224">
        <v>100</v>
      </c>
      <c r="L117" s="231">
        <f t="shared" si="33"/>
        <v>0</v>
      </c>
      <c r="S117" s="236">
        <v>7131</v>
      </c>
      <c r="T117" s="233">
        <v>0</v>
      </c>
      <c r="U117" s="234">
        <f t="shared" si="34"/>
        <v>0</v>
      </c>
    </row>
    <row r="118" spans="1:21" x14ac:dyDescent="0.3">
      <c r="A118" s="235" t="s">
        <v>85</v>
      </c>
      <c r="B118" s="236">
        <v>7150</v>
      </c>
      <c r="C118" s="404">
        <v>100</v>
      </c>
      <c r="D118" s="228">
        <f t="shared" si="30"/>
        <v>100</v>
      </c>
      <c r="E118" s="362">
        <v>58.99</v>
      </c>
      <c r="F118" s="229">
        <f t="shared" si="31"/>
        <v>41.01</v>
      </c>
      <c r="G118" s="230">
        <f t="shared" si="32"/>
        <v>41.01</v>
      </c>
      <c r="H118" s="188">
        <v>12</v>
      </c>
      <c r="I118" s="188">
        <f t="shared" si="35"/>
        <v>12</v>
      </c>
      <c r="K118" s="224">
        <v>100</v>
      </c>
      <c r="L118" s="231">
        <f t="shared" si="33"/>
        <v>0</v>
      </c>
      <c r="S118" s="236">
        <v>7150</v>
      </c>
      <c r="T118" s="233">
        <v>144.79</v>
      </c>
      <c r="U118" s="234">
        <f t="shared" si="34"/>
        <v>-85.799999999999983</v>
      </c>
    </row>
    <row r="119" spans="1:21" x14ac:dyDescent="0.3">
      <c r="A119" s="235" t="s">
        <v>86</v>
      </c>
      <c r="B119" s="236">
        <v>7160</v>
      </c>
      <c r="C119" s="404">
        <v>100</v>
      </c>
      <c r="D119" s="228">
        <f t="shared" si="30"/>
        <v>100</v>
      </c>
      <c r="E119" s="362">
        <v>0</v>
      </c>
      <c r="F119" s="229">
        <f t="shared" si="31"/>
        <v>100</v>
      </c>
      <c r="G119" s="230">
        <f t="shared" si="32"/>
        <v>100</v>
      </c>
      <c r="H119" s="188">
        <v>12</v>
      </c>
      <c r="I119" s="188">
        <f t="shared" si="35"/>
        <v>12</v>
      </c>
      <c r="K119" s="224">
        <v>100</v>
      </c>
      <c r="L119" s="231">
        <f t="shared" si="33"/>
        <v>0</v>
      </c>
      <c r="S119" s="236">
        <v>7160</v>
      </c>
      <c r="T119" s="233">
        <v>0</v>
      </c>
      <c r="U119" s="234">
        <f t="shared" si="34"/>
        <v>0</v>
      </c>
    </row>
    <row r="120" spans="1:21" x14ac:dyDescent="0.3">
      <c r="A120" s="235" t="s">
        <v>87</v>
      </c>
      <c r="B120" s="236">
        <v>8000</v>
      </c>
      <c r="C120" s="404">
        <v>2500</v>
      </c>
      <c r="D120" s="228">
        <f t="shared" si="30"/>
        <v>2500</v>
      </c>
      <c r="E120" s="362">
        <f>+'Notes to AC 16-17.'!B36</f>
        <v>227.98999999999978</v>
      </c>
      <c r="F120" s="229">
        <f t="shared" si="31"/>
        <v>2272.0100000000002</v>
      </c>
      <c r="G120" s="230">
        <f t="shared" si="32"/>
        <v>2272.0100000000002</v>
      </c>
      <c r="H120" s="188">
        <v>12</v>
      </c>
      <c r="I120" s="188">
        <f t="shared" si="35"/>
        <v>12</v>
      </c>
      <c r="K120" s="224">
        <v>100</v>
      </c>
      <c r="L120" s="231">
        <f t="shared" si="33"/>
        <v>2400</v>
      </c>
      <c r="S120" s="236">
        <v>8000</v>
      </c>
      <c r="T120" s="233">
        <v>1133.29</v>
      </c>
      <c r="U120" s="234">
        <f t="shared" si="34"/>
        <v>-905.30000000000018</v>
      </c>
    </row>
    <row r="121" spans="1:21" x14ac:dyDescent="0.3">
      <c r="A121" s="235" t="s">
        <v>88</v>
      </c>
      <c r="B121" s="236">
        <v>8010</v>
      </c>
      <c r="C121" s="404">
        <v>1200</v>
      </c>
      <c r="D121" s="228">
        <f t="shared" si="30"/>
        <v>1200</v>
      </c>
      <c r="E121" s="362">
        <v>729.18</v>
      </c>
      <c r="F121" s="229">
        <f t="shared" si="31"/>
        <v>470.82000000000005</v>
      </c>
      <c r="G121" s="230">
        <f t="shared" si="32"/>
        <v>470.82000000000005</v>
      </c>
      <c r="H121" s="188">
        <v>12</v>
      </c>
      <c r="I121" s="188">
        <f t="shared" si="35"/>
        <v>12</v>
      </c>
      <c r="K121" s="224">
        <v>700</v>
      </c>
      <c r="L121" s="231">
        <f t="shared" si="33"/>
        <v>500</v>
      </c>
      <c r="S121" s="236">
        <v>8010</v>
      </c>
      <c r="T121" s="233">
        <v>519.34</v>
      </c>
      <c r="U121" s="234">
        <f t="shared" si="34"/>
        <v>209.83999999999992</v>
      </c>
    </row>
    <row r="122" spans="1:21" x14ac:dyDescent="0.3">
      <c r="A122" s="235" t="s">
        <v>89</v>
      </c>
      <c r="B122" s="236">
        <v>8018</v>
      </c>
      <c r="C122" s="404">
        <v>215</v>
      </c>
      <c r="D122" s="228">
        <f t="shared" si="30"/>
        <v>215</v>
      </c>
      <c r="E122" s="362">
        <v>155</v>
      </c>
      <c r="F122" s="229">
        <f t="shared" si="31"/>
        <v>60</v>
      </c>
      <c r="G122" s="230">
        <f t="shared" si="32"/>
        <v>60</v>
      </c>
      <c r="H122" s="188">
        <v>12</v>
      </c>
      <c r="I122" s="202">
        <f>+I121</f>
        <v>12</v>
      </c>
      <c r="K122" s="224">
        <v>200</v>
      </c>
      <c r="L122" s="231">
        <f t="shared" si="33"/>
        <v>15</v>
      </c>
      <c r="S122" s="236">
        <v>8018</v>
      </c>
      <c r="T122" s="233">
        <v>35</v>
      </c>
      <c r="U122" s="234">
        <f t="shared" si="34"/>
        <v>120</v>
      </c>
    </row>
    <row r="123" spans="1:21" x14ac:dyDescent="0.3">
      <c r="A123" s="235" t="s">
        <v>299</v>
      </c>
      <c r="B123" s="236">
        <v>8020</v>
      </c>
      <c r="C123" s="404">
        <v>4000</v>
      </c>
      <c r="D123" s="228">
        <f t="shared" si="30"/>
        <v>4000</v>
      </c>
      <c r="E123" s="362">
        <v>4000</v>
      </c>
      <c r="F123" s="229">
        <f t="shared" si="31"/>
        <v>0</v>
      </c>
      <c r="G123" s="230">
        <f t="shared" si="32"/>
        <v>0</v>
      </c>
      <c r="H123" s="188">
        <v>12</v>
      </c>
      <c r="I123" s="188">
        <f>+I121</f>
        <v>12</v>
      </c>
      <c r="J123" s="190" t="s">
        <v>131</v>
      </c>
      <c r="K123" s="224">
        <v>3000</v>
      </c>
      <c r="L123" s="231">
        <f t="shared" si="33"/>
        <v>1000</v>
      </c>
      <c r="S123" s="236">
        <v>8020</v>
      </c>
      <c r="T123" s="233">
        <v>1500</v>
      </c>
      <c r="U123" s="234">
        <f t="shared" si="34"/>
        <v>2500</v>
      </c>
    </row>
    <row r="124" spans="1:21" x14ac:dyDescent="0.3">
      <c r="A124" s="235" t="s">
        <v>91</v>
      </c>
      <c r="B124" s="236">
        <v>8040</v>
      </c>
      <c r="C124" s="228">
        <v>1800</v>
      </c>
      <c r="D124" s="228">
        <f t="shared" si="30"/>
        <v>1800</v>
      </c>
      <c r="E124" s="362">
        <v>2185</v>
      </c>
      <c r="F124" s="229">
        <f t="shared" si="31"/>
        <v>-385</v>
      </c>
      <c r="G124" s="230">
        <f t="shared" si="32"/>
        <v>-385</v>
      </c>
      <c r="H124" s="188">
        <v>12</v>
      </c>
      <c r="I124" s="188">
        <v>12</v>
      </c>
      <c r="J124" s="188" t="s">
        <v>131</v>
      </c>
      <c r="K124" s="224">
        <v>1100</v>
      </c>
      <c r="L124" s="231">
        <f t="shared" si="33"/>
        <v>700</v>
      </c>
      <c r="S124" s="236">
        <v>8040</v>
      </c>
      <c r="T124" s="233">
        <v>0</v>
      </c>
      <c r="U124" s="234">
        <f t="shared" si="34"/>
        <v>2185</v>
      </c>
    </row>
    <row r="125" spans="1:21" x14ac:dyDescent="0.3">
      <c r="A125" s="235" t="s">
        <v>92</v>
      </c>
      <c r="B125" s="236">
        <v>8045</v>
      </c>
      <c r="C125" s="228">
        <v>0</v>
      </c>
      <c r="D125" s="228">
        <f t="shared" si="30"/>
        <v>0</v>
      </c>
      <c r="E125" s="362">
        <v>0</v>
      </c>
      <c r="F125" s="229">
        <f t="shared" si="31"/>
        <v>0</v>
      </c>
      <c r="G125" s="230">
        <f t="shared" si="32"/>
        <v>0</v>
      </c>
      <c r="H125" s="188">
        <v>12</v>
      </c>
      <c r="I125" s="188">
        <f>+I123</f>
        <v>12</v>
      </c>
      <c r="K125" s="224">
        <v>0</v>
      </c>
      <c r="L125" s="231">
        <f t="shared" si="33"/>
        <v>0</v>
      </c>
      <c r="S125" s="236">
        <v>8045</v>
      </c>
      <c r="T125" s="233">
        <v>0</v>
      </c>
      <c r="U125" s="234">
        <f t="shared" si="34"/>
        <v>0</v>
      </c>
    </row>
    <row r="126" spans="1:21" x14ac:dyDescent="0.3">
      <c r="A126" s="235" t="s">
        <v>94</v>
      </c>
      <c r="B126" s="236">
        <v>8030</v>
      </c>
      <c r="C126" s="228">
        <v>0</v>
      </c>
      <c r="D126" s="228">
        <f t="shared" si="30"/>
        <v>0</v>
      </c>
      <c r="E126" s="362">
        <v>0</v>
      </c>
      <c r="F126" s="229">
        <f t="shared" si="31"/>
        <v>0</v>
      </c>
      <c r="G126" s="230">
        <f t="shared" si="32"/>
        <v>0</v>
      </c>
      <c r="H126" s="188">
        <v>12</v>
      </c>
      <c r="I126" s="188">
        <f>+I125</f>
        <v>12</v>
      </c>
      <c r="K126" s="224">
        <v>0</v>
      </c>
      <c r="L126" s="231">
        <f t="shared" si="33"/>
        <v>0</v>
      </c>
      <c r="S126" s="236">
        <v>8030</v>
      </c>
      <c r="T126" s="233">
        <v>0</v>
      </c>
      <c r="U126" s="234">
        <f t="shared" si="34"/>
        <v>0</v>
      </c>
    </row>
    <row r="127" spans="1:21" x14ac:dyDescent="0.3">
      <c r="A127" s="235" t="s">
        <v>95</v>
      </c>
      <c r="B127" s="236">
        <v>8060</v>
      </c>
      <c r="C127" s="228">
        <v>0</v>
      </c>
      <c r="D127" s="228">
        <f t="shared" si="30"/>
        <v>0</v>
      </c>
      <c r="E127" s="362">
        <v>0</v>
      </c>
      <c r="F127" s="229">
        <f t="shared" si="31"/>
        <v>0</v>
      </c>
      <c r="G127" s="230">
        <f t="shared" si="32"/>
        <v>0</v>
      </c>
      <c r="H127" s="188">
        <v>12</v>
      </c>
      <c r="I127" s="188">
        <f>+I126</f>
        <v>12</v>
      </c>
      <c r="K127" s="224">
        <v>150</v>
      </c>
      <c r="L127" s="231">
        <f t="shared" si="33"/>
        <v>-150</v>
      </c>
      <c r="S127" s="236">
        <v>8060</v>
      </c>
      <c r="T127" s="233">
        <v>0</v>
      </c>
      <c r="U127" s="234">
        <f t="shared" si="34"/>
        <v>0</v>
      </c>
    </row>
    <row r="128" spans="1:21" ht="15" thickBot="1" x14ac:dyDescent="0.35">
      <c r="B128" s="189"/>
      <c r="C128" s="228">
        <v>0</v>
      </c>
      <c r="D128" s="187"/>
      <c r="E128" s="187"/>
      <c r="F128" s="192"/>
      <c r="G128" s="190"/>
      <c r="K128" s="224">
        <v>0</v>
      </c>
      <c r="L128" s="231"/>
      <c r="S128" s="236"/>
      <c r="T128" s="233"/>
      <c r="U128" s="234">
        <f t="shared" si="34"/>
        <v>0</v>
      </c>
    </row>
    <row r="129" spans="1:21" ht="15" thickBot="1" x14ac:dyDescent="0.35">
      <c r="A129" s="364" t="s">
        <v>97</v>
      </c>
      <c r="B129" s="267"/>
      <c r="C129" s="266">
        <f>SUM(C99:C127)</f>
        <v>20340</v>
      </c>
      <c r="D129" s="266">
        <f>SUM(D99:D127)</f>
        <v>20340</v>
      </c>
      <c r="E129" s="266">
        <f>SUM(E99:E127)</f>
        <v>18839.769999999997</v>
      </c>
      <c r="F129" s="266">
        <f>SUM(F99:F127)</f>
        <v>1500.2300000000005</v>
      </c>
      <c r="G129" s="266">
        <f>SUM(G99:G127)</f>
        <v>1500.2300000000005</v>
      </c>
      <c r="K129" s="224">
        <v>10210</v>
      </c>
      <c r="L129" s="231">
        <f>+C129-K129</f>
        <v>10130</v>
      </c>
      <c r="S129" s="268"/>
      <c r="T129" s="187">
        <f>SUM(T99:T128)</f>
        <v>7792.91</v>
      </c>
      <c r="U129" s="190">
        <f t="shared" si="34"/>
        <v>11046.859999999997</v>
      </c>
    </row>
    <row r="130" spans="1:21" ht="15" thickBot="1" x14ac:dyDescent="0.35">
      <c r="B130" s="189"/>
      <c r="C130" s="187" t="s">
        <v>131</v>
      </c>
      <c r="F130" s="190"/>
      <c r="K130" s="224" t="s">
        <v>131</v>
      </c>
      <c r="L130" s="231" t="s">
        <v>131</v>
      </c>
      <c r="S130" s="189"/>
      <c r="U130" s="190">
        <f t="shared" si="34"/>
        <v>0</v>
      </c>
    </row>
    <row r="131" spans="1:21" ht="15" thickBot="1" x14ac:dyDescent="0.35">
      <c r="A131" s="364" t="s">
        <v>98</v>
      </c>
      <c r="B131" s="240"/>
      <c r="C131" s="266">
        <f>C129+C78+C38</f>
        <v>46690</v>
      </c>
      <c r="D131" s="266">
        <f>D129+D78+D38</f>
        <v>46690</v>
      </c>
      <c r="E131" s="266">
        <f>E129+E78+E38</f>
        <v>49386.419999999991</v>
      </c>
      <c r="F131" s="266">
        <f>F129+F78+F38</f>
        <v>-2696.4200000000005</v>
      </c>
      <c r="G131" s="266">
        <f>G129+G78+G38</f>
        <v>-2696.4200000000005</v>
      </c>
      <c r="K131" s="224">
        <v>77631.618660000007</v>
      </c>
      <c r="L131" s="231">
        <f>+C131-K131</f>
        <v>-30941.618660000007</v>
      </c>
      <c r="S131" s="240"/>
      <c r="T131" s="266">
        <f>T129+T78+T38</f>
        <v>21434.979999999996</v>
      </c>
      <c r="U131" s="190">
        <f t="shared" si="34"/>
        <v>27951.439999999995</v>
      </c>
    </row>
    <row r="132" spans="1:21" ht="15" thickBot="1" x14ac:dyDescent="0.35">
      <c r="A132" s="209"/>
      <c r="B132" s="258"/>
      <c r="C132" s="259"/>
      <c r="K132" s="224"/>
      <c r="L132" s="231">
        <f>+C132-K132</f>
        <v>0</v>
      </c>
      <c r="S132" s="258"/>
      <c r="U132" s="190">
        <f t="shared" si="34"/>
        <v>0</v>
      </c>
    </row>
    <row r="133" spans="1:21" ht="29.4" thickBot="1" x14ac:dyDescent="0.35">
      <c r="A133" s="364" t="s">
        <v>99</v>
      </c>
      <c r="B133" s="366" t="s">
        <v>2</v>
      </c>
      <c r="C133" s="241" t="str">
        <f>+C98</f>
        <v>Budget 2015-16</v>
      </c>
      <c r="D133" s="241" t="s">
        <v>213</v>
      </c>
      <c r="E133" s="241" t="s">
        <v>184</v>
      </c>
      <c r="F133" s="241" t="s">
        <v>216</v>
      </c>
      <c r="G133" s="367" t="s">
        <v>215</v>
      </c>
      <c r="K133" s="188" t="s">
        <v>303</v>
      </c>
      <c r="L133" s="231"/>
      <c r="S133" s="257"/>
      <c r="U133" s="190"/>
    </row>
    <row r="134" spans="1:21" x14ac:dyDescent="0.3">
      <c r="A134" s="237" t="s">
        <v>100</v>
      </c>
      <c r="B134" s="261">
        <v>9000</v>
      </c>
      <c r="C134" s="405">
        <v>7500</v>
      </c>
      <c r="D134" s="228">
        <f t="shared" ref="D134:D153" si="36">C134/H134*I134</f>
        <v>7500</v>
      </c>
      <c r="E134" s="233">
        <v>11132.01</v>
      </c>
      <c r="F134" s="229">
        <f t="shared" ref="F134:F154" si="37">C134-E134</f>
        <v>-3632.01</v>
      </c>
      <c r="G134" s="234">
        <f t="shared" ref="G134:G154" si="38">D134-E134</f>
        <v>-3632.01</v>
      </c>
      <c r="H134" s="188">
        <v>12</v>
      </c>
      <c r="I134" s="188">
        <f>+I127</f>
        <v>12</v>
      </c>
      <c r="K134" s="224">
        <v>6000</v>
      </c>
      <c r="L134" s="231">
        <f t="shared" ref="L134:L155" si="39">+C134-K134</f>
        <v>1500</v>
      </c>
      <c r="S134" s="236">
        <v>9000</v>
      </c>
      <c r="T134" s="233">
        <v>1403.11</v>
      </c>
      <c r="U134" s="234">
        <f t="shared" ref="U134:U155" si="40">E134-T134</f>
        <v>9728.9</v>
      </c>
    </row>
    <row r="135" spans="1:21" x14ac:dyDescent="0.3">
      <c r="A135" s="235" t="s">
        <v>101</v>
      </c>
      <c r="B135" s="236">
        <v>9001</v>
      </c>
      <c r="C135" s="405">
        <v>1500</v>
      </c>
      <c r="D135" s="228">
        <f t="shared" si="36"/>
        <v>1500</v>
      </c>
      <c r="E135" s="233">
        <v>1072.6500000000001</v>
      </c>
      <c r="F135" s="229">
        <f t="shared" si="37"/>
        <v>427.34999999999991</v>
      </c>
      <c r="G135" s="234">
        <f t="shared" si="38"/>
        <v>427.34999999999991</v>
      </c>
      <c r="H135" s="188">
        <v>12</v>
      </c>
      <c r="I135" s="188">
        <f t="shared" ref="I135:I140" si="41">+I134</f>
        <v>12</v>
      </c>
      <c r="K135" s="224">
        <v>2500</v>
      </c>
      <c r="L135" s="231">
        <f t="shared" si="39"/>
        <v>-1000</v>
      </c>
      <c r="S135" s="236">
        <v>9001</v>
      </c>
      <c r="T135" s="233">
        <v>418.23</v>
      </c>
      <c r="U135" s="234">
        <f t="shared" si="40"/>
        <v>654.42000000000007</v>
      </c>
    </row>
    <row r="136" spans="1:21" x14ac:dyDescent="0.3">
      <c r="A136" s="235" t="s">
        <v>102</v>
      </c>
      <c r="B136" s="236">
        <v>9002</v>
      </c>
      <c r="C136" s="228">
        <v>0</v>
      </c>
      <c r="D136" s="228">
        <f t="shared" si="36"/>
        <v>0</v>
      </c>
      <c r="E136" s="233">
        <v>0</v>
      </c>
      <c r="F136" s="229">
        <f t="shared" si="37"/>
        <v>0</v>
      </c>
      <c r="G136" s="234">
        <f t="shared" si="38"/>
        <v>0</v>
      </c>
      <c r="H136" s="188">
        <v>12</v>
      </c>
      <c r="I136" s="188">
        <f t="shared" si="41"/>
        <v>12</v>
      </c>
      <c r="K136" s="224">
        <v>500</v>
      </c>
      <c r="L136" s="231">
        <f t="shared" si="39"/>
        <v>-500</v>
      </c>
      <c r="S136" s="236">
        <v>9002</v>
      </c>
      <c r="T136" s="233">
        <v>0</v>
      </c>
      <c r="U136" s="234">
        <f t="shared" si="40"/>
        <v>0</v>
      </c>
    </row>
    <row r="137" spans="1:21" x14ac:dyDescent="0.3">
      <c r="A137" s="235" t="s">
        <v>103</v>
      </c>
      <c r="B137" s="236">
        <v>9003</v>
      </c>
      <c r="C137" s="228">
        <v>0</v>
      </c>
      <c r="D137" s="228">
        <f t="shared" si="36"/>
        <v>0</v>
      </c>
      <c r="E137" s="233">
        <v>245</v>
      </c>
      <c r="F137" s="229">
        <f t="shared" si="37"/>
        <v>-245</v>
      </c>
      <c r="G137" s="234">
        <f t="shared" si="38"/>
        <v>-245</v>
      </c>
      <c r="H137" s="188">
        <v>12</v>
      </c>
      <c r="I137" s="188">
        <f t="shared" si="41"/>
        <v>12</v>
      </c>
      <c r="J137" s="188">
        <f>3645+155</f>
        <v>3800</v>
      </c>
      <c r="K137" s="224">
        <v>0</v>
      </c>
      <c r="L137" s="231">
        <f t="shared" si="39"/>
        <v>0</v>
      </c>
      <c r="S137" s="236">
        <v>9003</v>
      </c>
      <c r="T137" s="233">
        <v>0</v>
      </c>
      <c r="U137" s="234">
        <f t="shared" si="40"/>
        <v>245</v>
      </c>
    </row>
    <row r="138" spans="1:21" x14ac:dyDescent="0.3">
      <c r="A138" s="235" t="s">
        <v>104</v>
      </c>
      <c r="B138" s="236">
        <v>9004</v>
      </c>
      <c r="C138" s="228">
        <v>0</v>
      </c>
      <c r="D138" s="228">
        <f t="shared" si="36"/>
        <v>0</v>
      </c>
      <c r="E138" s="233">
        <v>1726.38</v>
      </c>
      <c r="F138" s="229">
        <f t="shared" si="37"/>
        <v>-1726.38</v>
      </c>
      <c r="G138" s="234">
        <f t="shared" si="38"/>
        <v>-1726.38</v>
      </c>
      <c r="H138" s="188">
        <v>12</v>
      </c>
      <c r="I138" s="188">
        <f t="shared" si="41"/>
        <v>12</v>
      </c>
      <c r="K138" s="224">
        <v>0</v>
      </c>
      <c r="L138" s="231">
        <f t="shared" si="39"/>
        <v>0</v>
      </c>
      <c r="S138" s="236">
        <v>9004</v>
      </c>
      <c r="T138" s="233">
        <v>0</v>
      </c>
      <c r="U138" s="234">
        <f t="shared" si="40"/>
        <v>1726.38</v>
      </c>
    </row>
    <row r="139" spans="1:21" x14ac:dyDescent="0.3">
      <c r="A139" s="235" t="s">
        <v>105</v>
      </c>
      <c r="B139" s="236">
        <v>9005</v>
      </c>
      <c r="C139" s="406">
        <v>200</v>
      </c>
      <c r="D139" s="228">
        <f t="shared" si="36"/>
        <v>200</v>
      </c>
      <c r="E139" s="233">
        <v>0</v>
      </c>
      <c r="F139" s="229">
        <f t="shared" si="37"/>
        <v>200</v>
      </c>
      <c r="G139" s="234">
        <f t="shared" si="38"/>
        <v>200</v>
      </c>
      <c r="H139" s="188">
        <v>12</v>
      </c>
      <c r="I139" s="188">
        <f t="shared" si="41"/>
        <v>12</v>
      </c>
      <c r="K139" s="224">
        <v>1000</v>
      </c>
      <c r="L139" s="231">
        <f t="shared" si="39"/>
        <v>-800</v>
      </c>
      <c r="S139" s="236">
        <v>9005</v>
      </c>
      <c r="T139" s="233">
        <v>42</v>
      </c>
      <c r="U139" s="234">
        <f t="shared" si="40"/>
        <v>-42</v>
      </c>
    </row>
    <row r="140" spans="1:21" x14ac:dyDescent="0.3">
      <c r="A140" s="235" t="s">
        <v>145</v>
      </c>
      <c r="B140" s="236">
        <v>9010</v>
      </c>
      <c r="C140" s="406">
        <v>300</v>
      </c>
      <c r="D140" s="228">
        <f t="shared" si="36"/>
        <v>300</v>
      </c>
      <c r="E140" s="233">
        <v>0</v>
      </c>
      <c r="F140" s="229">
        <f t="shared" si="37"/>
        <v>300</v>
      </c>
      <c r="G140" s="234">
        <f t="shared" si="38"/>
        <v>300</v>
      </c>
      <c r="H140" s="188">
        <v>12</v>
      </c>
      <c r="I140" s="188">
        <f t="shared" si="41"/>
        <v>12</v>
      </c>
      <c r="K140" s="224">
        <v>300</v>
      </c>
      <c r="L140" s="231">
        <f t="shared" si="39"/>
        <v>0</v>
      </c>
      <c r="S140" s="236">
        <v>9010</v>
      </c>
      <c r="T140" s="233">
        <v>0</v>
      </c>
      <c r="U140" s="234">
        <f t="shared" si="40"/>
        <v>0</v>
      </c>
    </row>
    <row r="141" spans="1:21" x14ac:dyDescent="0.3">
      <c r="A141" s="235" t="s">
        <v>106</v>
      </c>
      <c r="B141" s="236">
        <v>9006</v>
      </c>
      <c r="C141" s="406">
        <v>1000</v>
      </c>
      <c r="D141" s="228">
        <f t="shared" si="36"/>
        <v>1000</v>
      </c>
      <c r="E141" s="233">
        <v>7336.19</v>
      </c>
      <c r="F141" s="229">
        <f t="shared" si="37"/>
        <v>-6336.19</v>
      </c>
      <c r="G141" s="234">
        <f t="shared" si="38"/>
        <v>-6336.19</v>
      </c>
      <c r="H141" s="188">
        <v>12</v>
      </c>
      <c r="I141" s="188">
        <f t="shared" ref="I141:I151" si="42">I140</f>
        <v>12</v>
      </c>
      <c r="K141" s="224">
        <v>1000</v>
      </c>
      <c r="L141" s="231">
        <f t="shared" si="39"/>
        <v>0</v>
      </c>
      <c r="S141" s="236">
        <v>9006</v>
      </c>
      <c r="T141" s="233">
        <v>33.28</v>
      </c>
      <c r="U141" s="234">
        <f t="shared" si="40"/>
        <v>7302.91</v>
      </c>
    </row>
    <row r="142" spans="1:21" x14ac:dyDescent="0.3">
      <c r="A142" s="235" t="s">
        <v>107</v>
      </c>
      <c r="B142" s="236">
        <v>9007</v>
      </c>
      <c r="C142" s="406">
        <v>500</v>
      </c>
      <c r="D142" s="228">
        <f t="shared" si="36"/>
        <v>500</v>
      </c>
      <c r="E142" s="233">
        <v>0</v>
      </c>
      <c r="F142" s="229">
        <f t="shared" si="37"/>
        <v>500</v>
      </c>
      <c r="G142" s="234">
        <f t="shared" si="38"/>
        <v>500</v>
      </c>
      <c r="H142" s="188">
        <v>12</v>
      </c>
      <c r="I142" s="188">
        <f t="shared" si="42"/>
        <v>12</v>
      </c>
      <c r="K142" s="224">
        <v>500</v>
      </c>
      <c r="L142" s="231">
        <f t="shared" si="39"/>
        <v>0</v>
      </c>
      <c r="S142" s="236">
        <v>9007</v>
      </c>
      <c r="T142" s="233">
        <v>0</v>
      </c>
      <c r="U142" s="234">
        <f t="shared" si="40"/>
        <v>0</v>
      </c>
    </row>
    <row r="143" spans="1:21" x14ac:dyDescent="0.3">
      <c r="A143" s="235" t="s">
        <v>108</v>
      </c>
      <c r="B143" s="236">
        <v>8100</v>
      </c>
      <c r="C143" s="406">
        <v>500</v>
      </c>
      <c r="D143" s="228">
        <f t="shared" si="36"/>
        <v>500</v>
      </c>
      <c r="E143" s="233">
        <v>294.85000000000002</v>
      </c>
      <c r="F143" s="229">
        <f t="shared" si="37"/>
        <v>205.14999999999998</v>
      </c>
      <c r="G143" s="234">
        <f t="shared" si="38"/>
        <v>205.14999999999998</v>
      </c>
      <c r="H143" s="188">
        <v>12</v>
      </c>
      <c r="I143" s="188">
        <f t="shared" si="42"/>
        <v>12</v>
      </c>
      <c r="K143" s="224">
        <v>400</v>
      </c>
      <c r="L143" s="231">
        <f t="shared" si="39"/>
        <v>100</v>
      </c>
      <c r="S143" s="236">
        <v>8100</v>
      </c>
      <c r="T143" s="233">
        <v>0</v>
      </c>
      <c r="U143" s="234">
        <f t="shared" si="40"/>
        <v>294.85000000000002</v>
      </c>
    </row>
    <row r="144" spans="1:21" x14ac:dyDescent="0.3">
      <c r="A144" s="235" t="s">
        <v>144</v>
      </c>
      <c r="B144" s="236">
        <v>9008</v>
      </c>
      <c r="C144" s="406">
        <v>250</v>
      </c>
      <c r="D144" s="228">
        <f t="shared" si="36"/>
        <v>250</v>
      </c>
      <c r="E144" s="233">
        <v>35</v>
      </c>
      <c r="F144" s="229">
        <f t="shared" si="37"/>
        <v>215</v>
      </c>
      <c r="G144" s="234">
        <f t="shared" si="38"/>
        <v>215</v>
      </c>
      <c r="H144" s="188">
        <v>12</v>
      </c>
      <c r="I144" s="188">
        <f t="shared" si="42"/>
        <v>12</v>
      </c>
      <c r="K144" s="224">
        <v>250</v>
      </c>
      <c r="L144" s="231">
        <f t="shared" si="39"/>
        <v>0</v>
      </c>
      <c r="S144" s="236">
        <v>9008</v>
      </c>
      <c r="T144" s="233">
        <v>0</v>
      </c>
      <c r="U144" s="234">
        <f t="shared" si="40"/>
        <v>35</v>
      </c>
    </row>
    <row r="145" spans="1:21" x14ac:dyDescent="0.3">
      <c r="A145" s="235" t="s">
        <v>146</v>
      </c>
      <c r="B145" s="236">
        <v>9012</v>
      </c>
      <c r="C145" s="406">
        <v>250</v>
      </c>
      <c r="D145" s="228">
        <f t="shared" si="36"/>
        <v>250</v>
      </c>
      <c r="E145" s="233">
        <v>0</v>
      </c>
      <c r="F145" s="229">
        <f t="shared" si="37"/>
        <v>250</v>
      </c>
      <c r="G145" s="234">
        <f>D145-E145</f>
        <v>250</v>
      </c>
      <c r="H145" s="188">
        <v>12</v>
      </c>
      <c r="I145" s="188">
        <f t="shared" si="42"/>
        <v>12</v>
      </c>
      <c r="K145" s="224">
        <v>600</v>
      </c>
      <c r="L145" s="231">
        <f t="shared" si="39"/>
        <v>-350</v>
      </c>
      <c r="S145" s="236">
        <v>9012</v>
      </c>
      <c r="T145" s="233">
        <v>0</v>
      </c>
      <c r="U145" s="234">
        <f t="shared" si="40"/>
        <v>0</v>
      </c>
    </row>
    <row r="146" spans="1:21" x14ac:dyDescent="0.3">
      <c r="A146" s="235" t="s">
        <v>109</v>
      </c>
      <c r="B146" s="236">
        <v>9013</v>
      </c>
      <c r="C146" s="406">
        <v>300</v>
      </c>
      <c r="D146" s="228">
        <f t="shared" si="36"/>
        <v>300</v>
      </c>
      <c r="E146" s="233">
        <v>548.99</v>
      </c>
      <c r="F146" s="229">
        <f t="shared" si="37"/>
        <v>-248.99</v>
      </c>
      <c r="G146" s="234">
        <f t="shared" si="38"/>
        <v>-248.99</v>
      </c>
      <c r="H146" s="188">
        <v>12</v>
      </c>
      <c r="I146" s="188">
        <f t="shared" si="42"/>
        <v>12</v>
      </c>
      <c r="K146" s="224">
        <v>600</v>
      </c>
      <c r="L146" s="231">
        <f t="shared" si="39"/>
        <v>-300</v>
      </c>
      <c r="S146" s="236">
        <v>9013</v>
      </c>
      <c r="T146" s="233">
        <v>192.57</v>
      </c>
      <c r="U146" s="234">
        <f t="shared" si="40"/>
        <v>356.42</v>
      </c>
    </row>
    <row r="147" spans="1:21" x14ac:dyDescent="0.3">
      <c r="A147" s="235" t="s">
        <v>143</v>
      </c>
      <c r="B147" s="236">
        <v>9017</v>
      </c>
      <c r="C147" s="406">
        <v>2000</v>
      </c>
      <c r="D147" s="228">
        <f t="shared" si="36"/>
        <v>2000</v>
      </c>
      <c r="E147" s="233">
        <v>0</v>
      </c>
      <c r="F147" s="229">
        <f t="shared" si="37"/>
        <v>2000</v>
      </c>
      <c r="G147" s="234">
        <f t="shared" si="38"/>
        <v>2000</v>
      </c>
      <c r="H147" s="188">
        <v>12</v>
      </c>
      <c r="I147" s="188">
        <f t="shared" si="42"/>
        <v>12</v>
      </c>
      <c r="K147" s="224">
        <v>2000</v>
      </c>
      <c r="L147" s="231">
        <f t="shared" si="39"/>
        <v>0</v>
      </c>
      <c r="S147" s="236">
        <v>9017</v>
      </c>
      <c r="T147" s="233">
        <v>0</v>
      </c>
      <c r="U147" s="234">
        <f t="shared" si="40"/>
        <v>0</v>
      </c>
    </row>
    <row r="148" spans="1:21" x14ac:dyDescent="0.3">
      <c r="A148" s="235" t="s">
        <v>150</v>
      </c>
      <c r="B148" s="236">
        <v>9018</v>
      </c>
      <c r="C148" s="406">
        <v>2000</v>
      </c>
      <c r="D148" s="228">
        <f t="shared" si="36"/>
        <v>2000</v>
      </c>
      <c r="E148" s="233">
        <v>0</v>
      </c>
      <c r="F148" s="229">
        <f t="shared" si="37"/>
        <v>2000</v>
      </c>
      <c r="G148" s="234">
        <f t="shared" si="38"/>
        <v>2000</v>
      </c>
      <c r="H148" s="188">
        <v>12</v>
      </c>
      <c r="I148" s="188">
        <f t="shared" si="42"/>
        <v>12</v>
      </c>
      <c r="K148" s="224">
        <v>5000</v>
      </c>
      <c r="L148" s="231">
        <f t="shared" si="39"/>
        <v>-3000</v>
      </c>
      <c r="S148" s="236">
        <v>9018</v>
      </c>
      <c r="T148" s="233">
        <v>0</v>
      </c>
      <c r="U148" s="234">
        <f t="shared" si="40"/>
        <v>0</v>
      </c>
    </row>
    <row r="149" spans="1:21" x14ac:dyDescent="0.3">
      <c r="A149" s="235" t="s">
        <v>110</v>
      </c>
      <c r="B149" s="236">
        <v>9019</v>
      </c>
      <c r="C149" s="228">
        <v>0</v>
      </c>
      <c r="D149" s="228">
        <f t="shared" si="36"/>
        <v>0</v>
      </c>
      <c r="E149" s="233">
        <v>0</v>
      </c>
      <c r="F149" s="229">
        <f t="shared" si="37"/>
        <v>0</v>
      </c>
      <c r="G149" s="234">
        <f t="shared" si="38"/>
        <v>0</v>
      </c>
      <c r="H149" s="188">
        <v>12</v>
      </c>
      <c r="I149" s="188">
        <f t="shared" si="42"/>
        <v>12</v>
      </c>
      <c r="K149" s="224">
        <v>0</v>
      </c>
      <c r="L149" s="231">
        <f t="shared" si="39"/>
        <v>0</v>
      </c>
      <c r="S149" s="236">
        <v>9019</v>
      </c>
      <c r="T149" s="233">
        <v>0</v>
      </c>
      <c r="U149" s="234">
        <f t="shared" si="40"/>
        <v>0</v>
      </c>
    </row>
    <row r="150" spans="1:21" x14ac:dyDescent="0.3">
      <c r="A150" s="235" t="s">
        <v>111</v>
      </c>
      <c r="B150" s="236">
        <v>9020</v>
      </c>
      <c r="C150" s="228">
        <v>0</v>
      </c>
      <c r="D150" s="228">
        <f t="shared" si="36"/>
        <v>0</v>
      </c>
      <c r="E150" s="233">
        <v>0</v>
      </c>
      <c r="F150" s="229">
        <f t="shared" si="37"/>
        <v>0</v>
      </c>
      <c r="G150" s="234">
        <f t="shared" si="38"/>
        <v>0</v>
      </c>
      <c r="H150" s="188">
        <v>12</v>
      </c>
      <c r="I150" s="188">
        <f t="shared" si="42"/>
        <v>12</v>
      </c>
      <c r="K150" s="224">
        <v>0</v>
      </c>
      <c r="L150" s="231">
        <f t="shared" si="39"/>
        <v>0</v>
      </c>
      <c r="S150" s="236">
        <v>9020</v>
      </c>
      <c r="T150" s="233">
        <v>0</v>
      </c>
      <c r="U150" s="234">
        <f t="shared" si="40"/>
        <v>0</v>
      </c>
    </row>
    <row r="151" spans="1:21" x14ac:dyDescent="0.3">
      <c r="A151" s="235" t="s">
        <v>181</v>
      </c>
      <c r="B151" s="236">
        <v>6203</v>
      </c>
      <c r="C151" s="228">
        <v>0</v>
      </c>
      <c r="D151" s="228">
        <f t="shared" si="36"/>
        <v>0</v>
      </c>
      <c r="E151" s="233">
        <v>0</v>
      </c>
      <c r="F151" s="229">
        <f t="shared" si="37"/>
        <v>0</v>
      </c>
      <c r="G151" s="234">
        <f t="shared" si="38"/>
        <v>0</v>
      </c>
      <c r="H151" s="188">
        <f>H150</f>
        <v>12</v>
      </c>
      <c r="I151" s="188">
        <f t="shared" si="42"/>
        <v>12</v>
      </c>
      <c r="K151" s="224">
        <v>0</v>
      </c>
      <c r="L151" s="231">
        <f t="shared" si="39"/>
        <v>0</v>
      </c>
      <c r="S151" s="236">
        <v>6203</v>
      </c>
      <c r="T151" s="233">
        <v>0</v>
      </c>
      <c r="U151" s="234">
        <f t="shared" si="40"/>
        <v>0</v>
      </c>
    </row>
    <row r="152" spans="1:21" x14ac:dyDescent="0.3">
      <c r="A152" s="235" t="s">
        <v>112</v>
      </c>
      <c r="B152" s="236">
        <v>9021</v>
      </c>
      <c r="C152" s="228">
        <v>0</v>
      </c>
      <c r="D152" s="233">
        <f t="shared" si="36"/>
        <v>0</v>
      </c>
      <c r="E152" s="233">
        <v>0</v>
      </c>
      <c r="F152" s="269">
        <f t="shared" si="37"/>
        <v>0</v>
      </c>
      <c r="G152" s="234">
        <f t="shared" si="38"/>
        <v>0</v>
      </c>
      <c r="H152" s="188">
        <v>12</v>
      </c>
      <c r="I152" s="188">
        <f>I150</f>
        <v>12</v>
      </c>
      <c r="K152" s="224">
        <v>0</v>
      </c>
      <c r="L152" s="231">
        <f t="shared" si="39"/>
        <v>0</v>
      </c>
      <c r="S152" s="236">
        <v>9021</v>
      </c>
      <c r="T152" s="233">
        <v>0</v>
      </c>
      <c r="U152" s="234">
        <f t="shared" si="40"/>
        <v>0</v>
      </c>
    </row>
    <row r="153" spans="1:21" ht="15" thickBot="1" x14ac:dyDescent="0.35">
      <c r="A153" s="270" t="s">
        <v>291</v>
      </c>
      <c r="B153" s="271">
        <v>9928</v>
      </c>
      <c r="C153" s="272">
        <v>0</v>
      </c>
      <c r="D153" s="272">
        <f t="shared" si="36"/>
        <v>0</v>
      </c>
      <c r="E153" s="272">
        <v>0</v>
      </c>
      <c r="F153" s="273">
        <f t="shared" si="37"/>
        <v>0</v>
      </c>
      <c r="G153" s="274">
        <f t="shared" si="38"/>
        <v>0</v>
      </c>
      <c r="H153" s="188">
        <v>12</v>
      </c>
      <c r="I153" s="188">
        <f>+I152</f>
        <v>12</v>
      </c>
      <c r="K153" s="224">
        <v>0</v>
      </c>
      <c r="L153" s="231">
        <f t="shared" si="39"/>
        <v>0</v>
      </c>
      <c r="S153" s="236">
        <v>9928</v>
      </c>
      <c r="T153" s="233">
        <v>0</v>
      </c>
      <c r="U153" s="234">
        <f t="shared" si="40"/>
        <v>0</v>
      </c>
    </row>
    <row r="154" spans="1:21" ht="15" thickBot="1" x14ac:dyDescent="0.35">
      <c r="A154" s="369" t="s">
        <v>113</v>
      </c>
      <c r="B154" s="370"/>
      <c r="C154" s="371">
        <f>SUM(C134:C153)</f>
        <v>16300</v>
      </c>
      <c r="D154" s="371">
        <f>SUM(D134:D153)</f>
        <v>16300</v>
      </c>
      <c r="E154" s="371">
        <f>SUM(E134:E153)</f>
        <v>22391.07</v>
      </c>
      <c r="F154" s="241">
        <f t="shared" si="37"/>
        <v>-6091.07</v>
      </c>
      <c r="G154" s="242">
        <f t="shared" si="38"/>
        <v>-6091.07</v>
      </c>
      <c r="H154" s="190" t="s">
        <v>131</v>
      </c>
      <c r="K154" s="224">
        <v>20650</v>
      </c>
      <c r="L154" s="231">
        <f t="shared" si="39"/>
        <v>-4350</v>
      </c>
      <c r="S154" s="275"/>
      <c r="T154" s="187">
        <f>SUM(T134:T153)</f>
        <v>2089.19</v>
      </c>
      <c r="U154" s="190">
        <f t="shared" si="40"/>
        <v>20301.88</v>
      </c>
    </row>
    <row r="155" spans="1:21" ht="15" thickBot="1" x14ac:dyDescent="0.35">
      <c r="B155" s="189"/>
      <c r="E155" s="190" t="s">
        <v>131</v>
      </c>
      <c r="F155" s="190" t="s">
        <v>131</v>
      </c>
      <c r="G155" s="190"/>
      <c r="L155" s="231">
        <f t="shared" si="39"/>
        <v>0</v>
      </c>
      <c r="S155" s="189"/>
      <c r="U155" s="190" t="e">
        <f t="shared" si="40"/>
        <v>#VALUE!</v>
      </c>
    </row>
    <row r="156" spans="1:21" ht="29.4" thickBot="1" x14ac:dyDescent="0.35">
      <c r="A156" s="364" t="s">
        <v>114</v>
      </c>
      <c r="B156" s="366" t="s">
        <v>2</v>
      </c>
      <c r="C156" s="241" t="str">
        <f>+C133</f>
        <v>Budget 2015-16</v>
      </c>
      <c r="D156" s="241" t="s">
        <v>213</v>
      </c>
      <c r="E156" s="241" t="s">
        <v>184</v>
      </c>
      <c r="F156" s="241" t="s">
        <v>216</v>
      </c>
      <c r="G156" s="367" t="s">
        <v>215</v>
      </c>
      <c r="K156" s="188" t="s">
        <v>303</v>
      </c>
      <c r="L156" s="231" t="s">
        <v>131</v>
      </c>
      <c r="S156" s="257"/>
      <c r="U156" s="190"/>
    </row>
    <row r="157" spans="1:21" x14ac:dyDescent="0.3">
      <c r="A157" s="276" t="s">
        <v>115</v>
      </c>
      <c r="B157" s="277">
        <v>6010</v>
      </c>
      <c r="C157" s="233">
        <v>0</v>
      </c>
      <c r="D157" s="228">
        <f t="shared" ref="D157:D166" si="43">C157/12</f>
        <v>0</v>
      </c>
      <c r="E157" s="233">
        <v>0</v>
      </c>
      <c r="F157" s="229">
        <f t="shared" ref="F157:F167" si="44">C157-E157</f>
        <v>0</v>
      </c>
      <c r="G157" s="234">
        <f t="shared" ref="G157:G167" si="45">D157-E157</f>
        <v>0</v>
      </c>
      <c r="H157" s="188">
        <v>12</v>
      </c>
      <c r="I157" s="188">
        <f>I151</f>
        <v>12</v>
      </c>
      <c r="K157" s="224">
        <v>0</v>
      </c>
      <c r="L157" s="231">
        <f t="shared" ref="L157:L183" si="46">+C157-K157</f>
        <v>0</v>
      </c>
      <c r="S157" s="236">
        <v>6010</v>
      </c>
      <c r="T157" s="233">
        <v>0</v>
      </c>
      <c r="U157" s="234">
        <f t="shared" ref="U157:U168" si="47">E157-T157</f>
        <v>0</v>
      </c>
    </row>
    <row r="158" spans="1:21" x14ac:dyDescent="0.3">
      <c r="A158" s="235"/>
      <c r="B158" s="236">
        <v>6304</v>
      </c>
      <c r="C158" s="233">
        <v>0</v>
      </c>
      <c r="D158" s="228">
        <f t="shared" si="43"/>
        <v>0</v>
      </c>
      <c r="E158" s="233">
        <v>0</v>
      </c>
      <c r="F158" s="229">
        <f t="shared" si="44"/>
        <v>0</v>
      </c>
      <c r="G158" s="234">
        <f t="shared" si="45"/>
        <v>0</v>
      </c>
      <c r="H158" s="188">
        <v>12</v>
      </c>
      <c r="I158" s="188">
        <f t="shared" ref="I158:I168" si="48">I157</f>
        <v>12</v>
      </c>
      <c r="K158" s="224">
        <v>0</v>
      </c>
      <c r="L158" s="231">
        <f t="shared" si="46"/>
        <v>0</v>
      </c>
      <c r="S158" s="236">
        <v>6304</v>
      </c>
      <c r="T158" s="233">
        <v>0</v>
      </c>
      <c r="U158" s="234">
        <f t="shared" si="47"/>
        <v>0</v>
      </c>
    </row>
    <row r="159" spans="1:21" x14ac:dyDescent="0.3">
      <c r="A159" s="235"/>
      <c r="B159" s="236">
        <v>6305</v>
      </c>
      <c r="C159" s="233">
        <v>0</v>
      </c>
      <c r="D159" s="228">
        <f t="shared" si="43"/>
        <v>0</v>
      </c>
      <c r="E159" s="233">
        <v>0</v>
      </c>
      <c r="F159" s="229">
        <f t="shared" si="44"/>
        <v>0</v>
      </c>
      <c r="G159" s="234">
        <f t="shared" si="45"/>
        <v>0</v>
      </c>
      <c r="H159" s="188">
        <v>12</v>
      </c>
      <c r="I159" s="188">
        <f t="shared" si="48"/>
        <v>12</v>
      </c>
      <c r="K159" s="224">
        <v>0</v>
      </c>
      <c r="L159" s="231">
        <f t="shared" si="46"/>
        <v>0</v>
      </c>
      <c r="S159" s="236">
        <v>6305</v>
      </c>
      <c r="T159" s="233">
        <v>0</v>
      </c>
      <c r="U159" s="234">
        <f t="shared" si="47"/>
        <v>0</v>
      </c>
    </row>
    <row r="160" spans="1:21" x14ac:dyDescent="0.3">
      <c r="A160" s="235"/>
      <c r="B160" s="236">
        <v>6310</v>
      </c>
      <c r="C160" s="233">
        <v>0</v>
      </c>
      <c r="D160" s="228">
        <f t="shared" si="43"/>
        <v>0</v>
      </c>
      <c r="E160" s="233">
        <v>0</v>
      </c>
      <c r="F160" s="229">
        <f t="shared" si="44"/>
        <v>0</v>
      </c>
      <c r="G160" s="234">
        <f t="shared" si="45"/>
        <v>0</v>
      </c>
      <c r="H160" s="188">
        <v>12</v>
      </c>
      <c r="I160" s="188">
        <f t="shared" si="48"/>
        <v>12</v>
      </c>
      <c r="K160" s="224">
        <v>0</v>
      </c>
      <c r="L160" s="231">
        <f t="shared" si="46"/>
        <v>0</v>
      </c>
      <c r="S160" s="236">
        <v>6310</v>
      </c>
      <c r="T160" s="233">
        <v>0</v>
      </c>
      <c r="U160" s="234">
        <f t="shared" si="47"/>
        <v>0</v>
      </c>
    </row>
    <row r="161" spans="1:21" x14ac:dyDescent="0.3">
      <c r="A161" s="235" t="s">
        <v>116</v>
      </c>
      <c r="B161" s="236">
        <v>6315</v>
      </c>
      <c r="C161" s="233">
        <v>0</v>
      </c>
      <c r="D161" s="228">
        <f t="shared" si="43"/>
        <v>0</v>
      </c>
      <c r="E161" s="233">
        <v>2180</v>
      </c>
      <c r="F161" s="229">
        <f t="shared" si="44"/>
        <v>-2180</v>
      </c>
      <c r="G161" s="234">
        <f t="shared" si="45"/>
        <v>-2180</v>
      </c>
      <c r="H161" s="188">
        <v>12</v>
      </c>
      <c r="I161" s="188">
        <f t="shared" si="48"/>
        <v>12</v>
      </c>
      <c r="K161" s="224">
        <v>0</v>
      </c>
      <c r="L161" s="231">
        <f t="shared" si="46"/>
        <v>0</v>
      </c>
      <c r="S161" s="236">
        <v>6315</v>
      </c>
      <c r="T161" s="233">
        <v>0</v>
      </c>
      <c r="U161" s="234">
        <f t="shared" si="47"/>
        <v>2180</v>
      </c>
    </row>
    <row r="162" spans="1:21" x14ac:dyDescent="0.3">
      <c r="A162" s="235" t="s">
        <v>117</v>
      </c>
      <c r="B162" s="236">
        <v>6320</v>
      </c>
      <c r="C162" s="233">
        <v>0</v>
      </c>
      <c r="D162" s="228">
        <f t="shared" si="43"/>
        <v>0</v>
      </c>
      <c r="E162" s="233">
        <v>0</v>
      </c>
      <c r="F162" s="229">
        <f t="shared" si="44"/>
        <v>0</v>
      </c>
      <c r="G162" s="234">
        <f t="shared" si="45"/>
        <v>0</v>
      </c>
      <c r="H162" s="188">
        <v>12</v>
      </c>
      <c r="I162" s="188">
        <f t="shared" si="48"/>
        <v>12</v>
      </c>
      <c r="K162" s="224">
        <v>0</v>
      </c>
      <c r="L162" s="231">
        <f t="shared" si="46"/>
        <v>0</v>
      </c>
      <c r="S162" s="236">
        <v>6320</v>
      </c>
      <c r="T162" s="233">
        <v>0</v>
      </c>
      <c r="U162" s="234">
        <f t="shared" si="47"/>
        <v>0</v>
      </c>
    </row>
    <row r="163" spans="1:21" x14ac:dyDescent="0.3">
      <c r="A163" s="235" t="s">
        <v>118</v>
      </c>
      <c r="B163" s="236">
        <v>6325</v>
      </c>
      <c r="C163" s="233">
        <v>0</v>
      </c>
      <c r="D163" s="228">
        <f t="shared" si="43"/>
        <v>0</v>
      </c>
      <c r="E163" s="233">
        <v>0</v>
      </c>
      <c r="F163" s="229">
        <f t="shared" si="44"/>
        <v>0</v>
      </c>
      <c r="G163" s="234">
        <f t="shared" si="45"/>
        <v>0</v>
      </c>
      <c r="H163" s="188">
        <v>12</v>
      </c>
      <c r="I163" s="188">
        <f t="shared" si="48"/>
        <v>12</v>
      </c>
      <c r="K163" s="224">
        <v>0</v>
      </c>
      <c r="L163" s="231">
        <f t="shared" si="46"/>
        <v>0</v>
      </c>
      <c r="S163" s="236">
        <v>6325</v>
      </c>
      <c r="T163" s="233">
        <v>0</v>
      </c>
      <c r="U163" s="234">
        <f t="shared" si="47"/>
        <v>0</v>
      </c>
    </row>
    <row r="164" spans="1:21" x14ac:dyDescent="0.3">
      <c r="A164" s="235" t="s">
        <v>119</v>
      </c>
      <c r="B164" s="236">
        <v>6326</v>
      </c>
      <c r="C164" s="233">
        <v>0</v>
      </c>
      <c r="D164" s="228">
        <f t="shared" si="43"/>
        <v>0</v>
      </c>
      <c r="E164" s="233">
        <v>0</v>
      </c>
      <c r="F164" s="229">
        <f t="shared" si="44"/>
        <v>0</v>
      </c>
      <c r="G164" s="234">
        <f t="shared" si="45"/>
        <v>0</v>
      </c>
      <c r="H164" s="188">
        <v>12</v>
      </c>
      <c r="I164" s="188">
        <f t="shared" si="48"/>
        <v>12</v>
      </c>
      <c r="K164" s="224">
        <v>0</v>
      </c>
      <c r="L164" s="231">
        <f t="shared" si="46"/>
        <v>0</v>
      </c>
      <c r="S164" s="236">
        <v>6326</v>
      </c>
      <c r="T164" s="233">
        <v>0</v>
      </c>
      <c r="U164" s="234">
        <f t="shared" si="47"/>
        <v>0</v>
      </c>
    </row>
    <row r="165" spans="1:21" x14ac:dyDescent="0.3">
      <c r="A165" s="235" t="s">
        <v>120</v>
      </c>
      <c r="B165" s="236">
        <v>6327</v>
      </c>
      <c r="C165" s="233">
        <v>0</v>
      </c>
      <c r="D165" s="228">
        <f t="shared" si="43"/>
        <v>0</v>
      </c>
      <c r="E165" s="233">
        <v>0</v>
      </c>
      <c r="F165" s="229">
        <f t="shared" si="44"/>
        <v>0</v>
      </c>
      <c r="G165" s="234">
        <f t="shared" si="45"/>
        <v>0</v>
      </c>
      <c r="H165" s="188">
        <v>12</v>
      </c>
      <c r="I165" s="188">
        <f t="shared" si="48"/>
        <v>12</v>
      </c>
      <c r="K165" s="224">
        <v>0</v>
      </c>
      <c r="L165" s="231">
        <f t="shared" si="46"/>
        <v>0</v>
      </c>
      <c r="S165" s="236">
        <v>6327</v>
      </c>
      <c r="T165" s="233">
        <v>0</v>
      </c>
      <c r="U165" s="234">
        <f t="shared" si="47"/>
        <v>0</v>
      </c>
    </row>
    <row r="166" spans="1:21" x14ac:dyDescent="0.3">
      <c r="A166" s="235"/>
      <c r="B166" s="236">
        <v>6328</v>
      </c>
      <c r="C166" s="233">
        <v>0</v>
      </c>
      <c r="D166" s="228">
        <f t="shared" si="43"/>
        <v>0</v>
      </c>
      <c r="E166" s="233">
        <v>0</v>
      </c>
      <c r="F166" s="229">
        <f t="shared" si="44"/>
        <v>0</v>
      </c>
      <c r="G166" s="234">
        <f t="shared" si="45"/>
        <v>0</v>
      </c>
      <c r="H166" s="188">
        <v>12</v>
      </c>
      <c r="I166" s="188">
        <f t="shared" si="48"/>
        <v>12</v>
      </c>
      <c r="K166" s="224">
        <v>0</v>
      </c>
      <c r="L166" s="231">
        <f t="shared" si="46"/>
        <v>0</v>
      </c>
      <c r="S166" s="236">
        <v>6328</v>
      </c>
      <c r="T166" s="233">
        <v>0</v>
      </c>
      <c r="U166" s="234">
        <f t="shared" si="47"/>
        <v>0</v>
      </c>
    </row>
    <row r="167" spans="1:21" ht="15" thickBot="1" x14ac:dyDescent="0.35">
      <c r="A167" s="235" t="s">
        <v>233</v>
      </c>
      <c r="B167" s="236">
        <v>6330</v>
      </c>
      <c r="C167" s="233">
        <v>0</v>
      </c>
      <c r="D167" s="228">
        <f>C167/H167*I167</f>
        <v>0</v>
      </c>
      <c r="E167" s="233">
        <v>0</v>
      </c>
      <c r="F167" s="273">
        <f t="shared" si="44"/>
        <v>0</v>
      </c>
      <c r="G167" s="239">
        <f t="shared" si="45"/>
        <v>0</v>
      </c>
      <c r="H167" s="188">
        <v>12</v>
      </c>
      <c r="I167" s="188">
        <f t="shared" si="48"/>
        <v>12</v>
      </c>
      <c r="K167" s="224">
        <v>1500</v>
      </c>
      <c r="L167" s="231">
        <f t="shared" si="46"/>
        <v>-1500</v>
      </c>
      <c r="S167" s="236">
        <v>6330</v>
      </c>
      <c r="T167" s="233">
        <v>0</v>
      </c>
      <c r="U167" s="234">
        <f t="shared" si="47"/>
        <v>0</v>
      </c>
    </row>
    <row r="168" spans="1:21" ht="15" thickBot="1" x14ac:dyDescent="0.35">
      <c r="A168" s="364" t="s">
        <v>121</v>
      </c>
      <c r="B168" s="240"/>
      <c r="C168" s="365">
        <f>SUM(C157:C167)</f>
        <v>0</v>
      </c>
      <c r="D168" s="365">
        <f>SUM(D157:D167)</f>
        <v>0</v>
      </c>
      <c r="E168" s="365">
        <f>SUM(E157:E167)</f>
        <v>2180</v>
      </c>
      <c r="F168" s="241">
        <f>SUM(F157:F167)</f>
        <v>-2180</v>
      </c>
      <c r="G168" s="372">
        <f>SUM(G157:G167)</f>
        <v>-2180</v>
      </c>
      <c r="H168" s="188">
        <v>12</v>
      </c>
      <c r="I168" s="188">
        <f t="shared" si="48"/>
        <v>12</v>
      </c>
      <c r="K168" s="224">
        <v>1500</v>
      </c>
      <c r="L168" s="231">
        <f t="shared" si="46"/>
        <v>-1500</v>
      </c>
      <c r="S168" s="243"/>
      <c r="T168" s="187">
        <f>SUM(T157:T167)</f>
        <v>0</v>
      </c>
      <c r="U168" s="190">
        <f t="shared" si="47"/>
        <v>2180</v>
      </c>
    </row>
    <row r="169" spans="1:21" ht="15" thickBot="1" x14ac:dyDescent="0.35">
      <c r="B169" s="189"/>
      <c r="E169" s="190" t="s">
        <v>131</v>
      </c>
      <c r="F169" s="416" t="s">
        <v>131</v>
      </c>
      <c r="G169" s="190"/>
      <c r="K169" s="224"/>
      <c r="L169" s="231">
        <f t="shared" si="46"/>
        <v>0</v>
      </c>
      <c r="S169" s="189"/>
    </row>
    <row r="170" spans="1:21" ht="15" thickBot="1" x14ac:dyDescent="0.35">
      <c r="A170" s="364" t="s">
        <v>122</v>
      </c>
      <c r="B170" s="267"/>
      <c r="C170" s="373">
        <f>C25</f>
        <v>111523.99723928446</v>
      </c>
      <c r="D170" s="373">
        <f>D25</f>
        <v>111523.99723928446</v>
      </c>
      <c r="E170" s="373">
        <f>E25</f>
        <v>114067.93000000001</v>
      </c>
      <c r="F170" s="374">
        <f>C170-E170</f>
        <v>-2543.9327607155428</v>
      </c>
      <c r="G170" s="278">
        <f>E170-D170</f>
        <v>2543.9327607155428</v>
      </c>
      <c r="H170" s="188">
        <v>12</v>
      </c>
      <c r="I170" s="188">
        <f>+I168</f>
        <v>12</v>
      </c>
      <c r="K170" s="224">
        <v>97045.667659773084</v>
      </c>
      <c r="L170" s="231">
        <f t="shared" si="46"/>
        <v>14478.329579511381</v>
      </c>
      <c r="S170" s="267"/>
    </row>
    <row r="171" spans="1:21" x14ac:dyDescent="0.3">
      <c r="A171" s="209"/>
      <c r="B171" s="189"/>
      <c r="K171" s="224"/>
      <c r="L171" s="231">
        <f t="shared" si="46"/>
        <v>0</v>
      </c>
      <c r="S171" s="189"/>
    </row>
    <row r="172" spans="1:21" x14ac:dyDescent="0.3">
      <c r="A172" s="235" t="s">
        <v>123</v>
      </c>
      <c r="B172" s="236"/>
      <c r="C172" s="279">
        <f>C78+C38</f>
        <v>26350</v>
      </c>
      <c r="D172" s="279">
        <f>D78+D38</f>
        <v>26350</v>
      </c>
      <c r="E172" s="279">
        <f>E78+E38</f>
        <v>30546.649999999994</v>
      </c>
      <c r="F172" s="269">
        <f>C172-E172</f>
        <v>-4196.6499999999942</v>
      </c>
      <c r="G172" s="234">
        <f>D172-E172</f>
        <v>-4196.6499999999942</v>
      </c>
      <c r="K172" s="224">
        <v>27600</v>
      </c>
      <c r="L172" s="231">
        <f t="shared" si="46"/>
        <v>-1250</v>
      </c>
      <c r="S172" s="236"/>
    </row>
    <row r="173" spans="1:21" ht="15" thickBot="1" x14ac:dyDescent="0.35">
      <c r="A173" s="280" t="s">
        <v>124</v>
      </c>
      <c r="B173" s="261"/>
      <c r="C173" s="233">
        <f>C129</f>
        <v>20340</v>
      </c>
      <c r="D173" s="281">
        <f>D129</f>
        <v>20340</v>
      </c>
      <c r="E173" s="281">
        <f>E129</f>
        <v>18839.769999999997</v>
      </c>
      <c r="F173" s="282">
        <f>C173-E173</f>
        <v>1500.2300000000032</v>
      </c>
      <c r="G173" s="239">
        <f>D173-E173</f>
        <v>1500.2300000000032</v>
      </c>
      <c r="K173" s="224">
        <v>10210</v>
      </c>
      <c r="L173" s="231">
        <f t="shared" si="46"/>
        <v>10130</v>
      </c>
      <c r="S173" s="261"/>
    </row>
    <row r="174" spans="1:21" ht="15" thickBot="1" x14ac:dyDescent="0.35">
      <c r="A174" s="364" t="s">
        <v>98</v>
      </c>
      <c r="B174" s="240" t="s">
        <v>151</v>
      </c>
      <c r="C174" s="365">
        <f>SUM(C172:C173)</f>
        <v>46690</v>
      </c>
      <c r="D174" s="365">
        <f>SUM(D172:D173)</f>
        <v>46690</v>
      </c>
      <c r="E174" s="365">
        <f>SUM(E172:E173)</f>
        <v>49386.419999999991</v>
      </c>
      <c r="F174" s="365">
        <f>SUM(F172:F173)</f>
        <v>-2696.419999999991</v>
      </c>
      <c r="G174" s="365">
        <f>SUM(G172:G173)</f>
        <v>-2696.419999999991</v>
      </c>
      <c r="K174" s="224">
        <v>37810</v>
      </c>
      <c r="L174" s="231">
        <f t="shared" si="46"/>
        <v>8880</v>
      </c>
      <c r="S174" s="240"/>
    </row>
    <row r="175" spans="1:21" ht="15" thickBot="1" x14ac:dyDescent="0.35">
      <c r="B175" s="258"/>
      <c r="K175" s="224"/>
      <c r="L175" s="231">
        <f t="shared" si="46"/>
        <v>0</v>
      </c>
      <c r="S175" s="258"/>
    </row>
    <row r="176" spans="1:21" ht="15" thickBot="1" x14ac:dyDescent="0.35">
      <c r="A176" s="364" t="s">
        <v>125</v>
      </c>
      <c r="B176" s="240" t="s">
        <v>152</v>
      </c>
      <c r="C176" s="365">
        <f>C154</f>
        <v>16300</v>
      </c>
      <c r="D176" s="365">
        <f>D154</f>
        <v>16300</v>
      </c>
      <c r="E176" s="365">
        <f>E154</f>
        <v>22391.07</v>
      </c>
      <c r="F176" s="241">
        <f>C176-E176</f>
        <v>-6091.07</v>
      </c>
      <c r="G176" s="242">
        <f>D176-E176</f>
        <v>-6091.07</v>
      </c>
      <c r="H176" s="188">
        <v>12</v>
      </c>
      <c r="I176" s="188">
        <f>+I170</f>
        <v>12</v>
      </c>
      <c r="K176" s="224">
        <v>20650</v>
      </c>
      <c r="L176" s="231">
        <f t="shared" si="46"/>
        <v>-4350</v>
      </c>
      <c r="S176" s="240"/>
    </row>
    <row r="177" spans="1:26" ht="15" thickBot="1" x14ac:dyDescent="0.35">
      <c r="A177" s="283"/>
      <c r="B177" s="284"/>
      <c r="C177" s="285"/>
      <c r="K177" s="224"/>
      <c r="L177" s="231">
        <f t="shared" si="46"/>
        <v>0</v>
      </c>
      <c r="S177" s="284"/>
    </row>
    <row r="178" spans="1:26" ht="15" thickBot="1" x14ac:dyDescent="0.35">
      <c r="A178" s="364" t="s">
        <v>126</v>
      </c>
      <c r="B178" s="240" t="s">
        <v>153</v>
      </c>
      <c r="C178" s="365">
        <f>C168</f>
        <v>0</v>
      </c>
      <c r="D178" s="365">
        <f>D168</f>
        <v>0</v>
      </c>
      <c r="E178" s="365">
        <f>E168</f>
        <v>2180</v>
      </c>
      <c r="F178" s="241">
        <f>C178-E178</f>
        <v>-2180</v>
      </c>
      <c r="G178" s="242">
        <f>D178-E178</f>
        <v>-2180</v>
      </c>
      <c r="K178" s="224">
        <v>1500</v>
      </c>
      <c r="L178" s="231">
        <f t="shared" si="46"/>
        <v>-1500</v>
      </c>
      <c r="S178" s="240"/>
    </row>
    <row r="179" spans="1:26" ht="15" thickBot="1" x14ac:dyDescent="0.35">
      <c r="A179" s="283"/>
      <c r="B179" s="284"/>
      <c r="C179" s="285"/>
      <c r="K179" s="224"/>
      <c r="L179" s="231">
        <f t="shared" si="46"/>
        <v>0</v>
      </c>
      <c r="S179" s="284"/>
    </row>
    <row r="180" spans="1:26" ht="15" thickBot="1" x14ac:dyDescent="0.35">
      <c r="A180" s="364" t="s">
        <v>147</v>
      </c>
      <c r="B180" s="240" t="s">
        <v>154</v>
      </c>
      <c r="C180" s="365">
        <f>C96</f>
        <v>45471.317175789583</v>
      </c>
      <c r="D180" s="365">
        <f>D96</f>
        <v>45471.317175789583</v>
      </c>
      <c r="E180" s="365">
        <f>E96</f>
        <v>50615.26</v>
      </c>
      <c r="F180" s="241">
        <f>C180-E180</f>
        <v>-5143.9428242104186</v>
      </c>
      <c r="G180" s="242">
        <f>D180-E180</f>
        <v>-5143.9428242104186</v>
      </c>
      <c r="H180" s="190" t="s">
        <v>131</v>
      </c>
      <c r="K180" s="224">
        <v>39821.61866</v>
      </c>
      <c r="L180" s="231">
        <f t="shared" si="46"/>
        <v>5649.6985157895833</v>
      </c>
      <c r="S180" s="240"/>
    </row>
    <row r="181" spans="1:26" ht="15" thickBot="1" x14ac:dyDescent="0.35">
      <c r="B181" s="189"/>
      <c r="H181" s="205">
        <f>+C182-E182-F182</f>
        <v>0</v>
      </c>
      <c r="I181" s="205">
        <f>+D182-E182-G182</f>
        <v>0</v>
      </c>
      <c r="K181" s="224"/>
      <c r="L181" s="231">
        <f t="shared" si="46"/>
        <v>0</v>
      </c>
      <c r="S181" s="189"/>
    </row>
    <row r="182" spans="1:26" ht="15" thickBot="1" x14ac:dyDescent="0.35">
      <c r="A182" s="364" t="s">
        <v>127</v>
      </c>
      <c r="B182" s="375"/>
      <c r="C182" s="266">
        <f>C170 - (C174+C176+C178+C180)</f>
        <v>3062.680063494874</v>
      </c>
      <c r="D182" s="266">
        <f>D170 - (D174+D176+D178+D180)</f>
        <v>3062.680063494874</v>
      </c>
      <c r="E182" s="266">
        <f>E170 - (E174+E176+E178+E180)</f>
        <v>-10504.819999999992</v>
      </c>
      <c r="F182" s="241">
        <f>C182-E182</f>
        <v>13567.500063494866</v>
      </c>
      <c r="G182" s="365">
        <f>D182-E182</f>
        <v>13567.500063494866</v>
      </c>
      <c r="H182" s="241">
        <f t="shared" ref="H182:V182" si="49">E182-G182</f>
        <v>-24072.320063494859</v>
      </c>
      <c r="I182" s="241">
        <f t="shared" si="49"/>
        <v>37639.820126989725</v>
      </c>
      <c r="J182" s="241">
        <f t="shared" si="49"/>
        <v>-24072.320063494859</v>
      </c>
      <c r="K182" s="241">
        <f t="shared" si="49"/>
        <v>0</v>
      </c>
      <c r="L182" s="241">
        <f t="shared" si="49"/>
        <v>37639.820126989725</v>
      </c>
      <c r="M182" s="241">
        <f t="shared" si="49"/>
        <v>-61712.140190484584</v>
      </c>
      <c r="N182" s="241">
        <f t="shared" si="49"/>
        <v>61712.140190484584</v>
      </c>
      <c r="O182" s="241">
        <f t="shared" si="49"/>
        <v>-24072.320063494859</v>
      </c>
      <c r="P182" s="241">
        <f t="shared" si="49"/>
        <v>-37639.820126989725</v>
      </c>
      <c r="Q182" s="241">
        <f t="shared" si="49"/>
        <v>99351.96031747431</v>
      </c>
      <c r="R182" s="241">
        <f t="shared" si="49"/>
        <v>-123424.28038096917</v>
      </c>
      <c r="S182" s="241">
        <f t="shared" si="49"/>
        <v>85784.460253979443</v>
      </c>
      <c r="T182" s="241">
        <f t="shared" si="49"/>
        <v>13567.500063494866</v>
      </c>
      <c r="U182" s="241">
        <f t="shared" si="49"/>
        <v>-136991.78044446404</v>
      </c>
      <c r="V182" s="241">
        <f t="shared" si="49"/>
        <v>222776.24069844349</v>
      </c>
      <c r="Z182" s="188">
        <v>3062.680063494874</v>
      </c>
    </row>
    <row r="183" spans="1:26" ht="15" thickBot="1" x14ac:dyDescent="0.35">
      <c r="B183" s="189"/>
      <c r="C183" s="350">
        <f>Z182-C182</f>
        <v>0</v>
      </c>
      <c r="D183" s="351"/>
      <c r="E183" s="351">
        <f>10717.87+E182</f>
        <v>213.05000000000837</v>
      </c>
      <c r="F183" s="190" t="s">
        <v>131</v>
      </c>
      <c r="G183" s="190"/>
      <c r="J183" s="190">
        <f>+C182-E182-F182</f>
        <v>0</v>
      </c>
      <c r="K183" s="286">
        <v>-1.0002269236792927E-3</v>
      </c>
      <c r="L183" s="231">
        <f t="shared" si="46"/>
        <v>1.0002269236792927E-3</v>
      </c>
      <c r="S183" s="189"/>
    </row>
    <row r="184" spans="1:26" ht="15" thickBot="1" x14ac:dyDescent="0.35">
      <c r="A184" s="214" t="s">
        <v>156</v>
      </c>
      <c r="B184" s="287"/>
      <c r="C184" s="288" t="s">
        <v>172</v>
      </c>
      <c r="D184" s="288" t="s">
        <v>173</v>
      </c>
      <c r="E184" s="289" t="s">
        <v>157</v>
      </c>
      <c r="F184" s="288" t="s">
        <v>217</v>
      </c>
      <c r="G184" s="290" t="s">
        <v>295</v>
      </c>
      <c r="H184" s="188" t="s">
        <v>131</v>
      </c>
      <c r="I184" s="188" t="s">
        <v>131</v>
      </c>
      <c r="J184" s="190">
        <f>+D182-E182-G182</f>
        <v>0</v>
      </c>
      <c r="K184" s="188" t="s">
        <v>172</v>
      </c>
      <c r="L184" s="231" t="s">
        <v>131</v>
      </c>
      <c r="S184" s="287"/>
    </row>
    <row r="185" spans="1:26" ht="15" thickBot="1" x14ac:dyDescent="0.35">
      <c r="A185" s="209"/>
      <c r="B185" s="387"/>
      <c r="C185" s="388">
        <f>C25</f>
        <v>111523.99723928446</v>
      </c>
      <c r="D185" s="388">
        <f>+E25</f>
        <v>114067.93000000001</v>
      </c>
      <c r="E185" s="388">
        <f>SUM(E174:E180)</f>
        <v>124572.75</v>
      </c>
      <c r="F185" s="388">
        <f>C185-E185</f>
        <v>-13048.752760715535</v>
      </c>
      <c r="G185" s="376">
        <f>D185-E185</f>
        <v>-10504.819999999992</v>
      </c>
      <c r="H185" s="206">
        <f>+C185-C25</f>
        <v>0</v>
      </c>
      <c r="I185" s="188">
        <f>+I182</f>
        <v>37639.820126989725</v>
      </c>
      <c r="K185" s="224">
        <v>97045.667659773084</v>
      </c>
      <c r="L185" s="231">
        <f>+C185-K185</f>
        <v>14478.329579511381</v>
      </c>
      <c r="S185" s="291"/>
    </row>
    <row r="186" spans="1:26" s="292" customFormat="1" ht="15" thickBot="1" x14ac:dyDescent="0.35">
      <c r="A186" s="209"/>
      <c r="B186" s="258"/>
      <c r="C186" s="259"/>
      <c r="E186" s="293" t="s">
        <v>131</v>
      </c>
      <c r="H186" s="207">
        <f>+D185-E25</f>
        <v>0</v>
      </c>
      <c r="L186" s="231">
        <f>+C186-K186</f>
        <v>0</v>
      </c>
      <c r="S186" s="258"/>
      <c r="T186" s="259"/>
    </row>
    <row r="187" spans="1:26" s="292" customFormat="1" ht="15" thickBot="1" x14ac:dyDescent="0.35">
      <c r="A187" s="283"/>
      <c r="B187" s="294"/>
      <c r="C187" s="285"/>
      <c r="D187" s="295"/>
      <c r="E187" s="295"/>
      <c r="F187" s="295"/>
      <c r="G187" s="296"/>
      <c r="H187" s="207">
        <f>+E170-E174-E176-E178-E180-E182</f>
        <v>0</v>
      </c>
      <c r="I187" s="207">
        <f>+C185-E185-F185</f>
        <v>0</v>
      </c>
      <c r="J187" s="293">
        <f>+G185-E182</f>
        <v>0</v>
      </c>
      <c r="L187" s="231">
        <f>+C187-K187</f>
        <v>0</v>
      </c>
      <c r="S187" s="294"/>
      <c r="T187" s="259"/>
    </row>
    <row r="188" spans="1:26" ht="29.4" thickBot="1" x14ac:dyDescent="0.35">
      <c r="A188" s="377" t="s">
        <v>128</v>
      </c>
      <c r="B188" s="378"/>
      <c r="C188" s="379" t="str">
        <f>+C156</f>
        <v>Budget 2015-16</v>
      </c>
      <c r="D188" s="379" t="s">
        <v>213</v>
      </c>
      <c r="E188" s="379" t="s">
        <v>184</v>
      </c>
      <c r="F188" s="379" t="s">
        <v>216</v>
      </c>
      <c r="G188" s="380" t="s">
        <v>215</v>
      </c>
      <c r="H188" s="205">
        <f>+E25-E182-E185</f>
        <v>0</v>
      </c>
      <c r="I188" s="205">
        <f>+D185-E185-G185</f>
        <v>0</v>
      </c>
      <c r="K188" s="188" t="s">
        <v>303</v>
      </c>
      <c r="L188" s="231" t="s">
        <v>131</v>
      </c>
      <c r="S188" s="267"/>
    </row>
    <row r="189" spans="1:26" x14ac:dyDescent="0.3">
      <c r="A189" s="297" t="s">
        <v>123</v>
      </c>
      <c r="B189" s="189"/>
      <c r="C189" s="228">
        <f t="shared" ref="C189:E190" si="50">C172</f>
        <v>26350</v>
      </c>
      <c r="D189" s="298">
        <f t="shared" si="50"/>
        <v>26350</v>
      </c>
      <c r="E189" s="228">
        <f t="shared" si="50"/>
        <v>30546.649999999994</v>
      </c>
      <c r="F189" s="229">
        <f>C189-E189</f>
        <v>-4196.6499999999942</v>
      </c>
      <c r="G189" s="299">
        <f>D189-E189</f>
        <v>-4196.6499999999942</v>
      </c>
      <c r="H189" s="204">
        <v>12</v>
      </c>
      <c r="I189" s="188">
        <f>I188</f>
        <v>0</v>
      </c>
      <c r="K189" s="224">
        <v>27600</v>
      </c>
      <c r="L189" s="231">
        <f t="shared" ref="L189:L197" si="51">+C189-K189</f>
        <v>-1250</v>
      </c>
      <c r="S189" s="189"/>
    </row>
    <row r="190" spans="1:26" x14ac:dyDescent="0.3">
      <c r="A190" s="300" t="s">
        <v>124</v>
      </c>
      <c r="B190" s="236"/>
      <c r="C190" s="233">
        <f t="shared" si="50"/>
        <v>20340</v>
      </c>
      <c r="D190" s="233">
        <f t="shared" si="50"/>
        <v>20340</v>
      </c>
      <c r="E190" s="233">
        <f t="shared" si="50"/>
        <v>18839.769999999997</v>
      </c>
      <c r="F190" s="229">
        <f>C190-E190</f>
        <v>1500.2300000000032</v>
      </c>
      <c r="G190" s="299">
        <f>D190-E190</f>
        <v>1500.2300000000032</v>
      </c>
      <c r="H190" s="188">
        <v>12</v>
      </c>
      <c r="I190" s="188">
        <f>I189</f>
        <v>0</v>
      </c>
      <c r="K190" s="224">
        <v>10210</v>
      </c>
      <c r="L190" s="231">
        <f t="shared" si="51"/>
        <v>10130</v>
      </c>
      <c r="S190" s="236"/>
    </row>
    <row r="191" spans="1:26" ht="15" thickBot="1" x14ac:dyDescent="0.35">
      <c r="A191" s="301" t="s">
        <v>147</v>
      </c>
      <c r="B191" s="302"/>
      <c r="C191" s="281">
        <f>C180</f>
        <v>45471.317175789583</v>
      </c>
      <c r="D191" s="272">
        <f>D180</f>
        <v>45471.317175789583</v>
      </c>
      <c r="E191" s="281">
        <f>E180</f>
        <v>50615.26</v>
      </c>
      <c r="F191" s="229">
        <f>C191-E191</f>
        <v>-5143.9428242104186</v>
      </c>
      <c r="G191" s="299">
        <f>D191-E191</f>
        <v>-5143.9428242104186</v>
      </c>
      <c r="H191" s="188">
        <v>12</v>
      </c>
      <c r="I191" s="188">
        <f>I190</f>
        <v>0</v>
      </c>
      <c r="K191" s="224">
        <v>39821.61866</v>
      </c>
      <c r="L191" s="231">
        <f t="shared" si="51"/>
        <v>5649.6985157895833</v>
      </c>
      <c r="S191" s="302"/>
    </row>
    <row r="192" spans="1:26" ht="15" thickBot="1" x14ac:dyDescent="0.35">
      <c r="A192" s="377" t="s">
        <v>97</v>
      </c>
      <c r="B192" s="381"/>
      <c r="C192" s="382">
        <f>SUM(C189:C191)</f>
        <v>92161.317175789591</v>
      </c>
      <c r="D192" s="383">
        <f>SUM(D189:D191)</f>
        <v>92161.317175789591</v>
      </c>
      <c r="E192" s="382">
        <f>SUM(E189:E191)</f>
        <v>100001.68</v>
      </c>
      <c r="F192" s="382">
        <f>SUM(F189:F191)</f>
        <v>-7840.3628242104096</v>
      </c>
      <c r="G192" s="384">
        <f>SUM(G189:G191)</f>
        <v>-7840.3628242104096</v>
      </c>
      <c r="H192" s="188">
        <v>12</v>
      </c>
      <c r="I192" s="188">
        <f>I191</f>
        <v>0</v>
      </c>
      <c r="K192" s="224">
        <v>77631.618660000007</v>
      </c>
      <c r="L192" s="231">
        <f t="shared" si="51"/>
        <v>14529.698515789583</v>
      </c>
      <c r="S192" s="240"/>
    </row>
    <row r="193" spans="1:20" ht="15" thickBot="1" x14ac:dyDescent="0.35">
      <c r="A193" s="303"/>
      <c r="B193" s="258"/>
      <c r="G193" s="304"/>
      <c r="K193" s="224"/>
      <c r="L193" s="231">
        <f t="shared" si="51"/>
        <v>0</v>
      </c>
      <c r="S193" s="258"/>
    </row>
    <row r="194" spans="1:20" ht="15" thickBot="1" x14ac:dyDescent="0.35">
      <c r="A194" s="377" t="s">
        <v>137</v>
      </c>
      <c r="B194" s="381"/>
      <c r="C194" s="385">
        <f>C191*0.4</f>
        <v>18188.526870315833</v>
      </c>
      <c r="D194" s="385">
        <f>D191*0.4</f>
        <v>18188.526870315833</v>
      </c>
      <c r="E194" s="385">
        <f>E191*0.4</f>
        <v>20246.104000000003</v>
      </c>
      <c r="F194" s="379">
        <f>C194-E194</f>
        <v>-2057.5771296841704</v>
      </c>
      <c r="G194" s="386">
        <f>D194-E194</f>
        <v>-2057.5771296841704</v>
      </c>
      <c r="H194" s="188">
        <v>12</v>
      </c>
      <c r="I194" s="188">
        <f>+I192</f>
        <v>0</v>
      </c>
      <c r="K194" s="224">
        <v>15928.647464000001</v>
      </c>
      <c r="L194" s="231">
        <f t="shared" si="51"/>
        <v>2259.8794063158311</v>
      </c>
      <c r="S194" s="240"/>
    </row>
    <row r="195" spans="1:20" ht="15" thickBot="1" x14ac:dyDescent="0.35">
      <c r="A195" s="303"/>
      <c r="B195" s="284"/>
      <c r="C195" s="306"/>
      <c r="G195" s="304"/>
      <c r="K195" s="224"/>
      <c r="L195" s="231">
        <f t="shared" si="51"/>
        <v>0</v>
      </c>
      <c r="S195" s="284"/>
    </row>
    <row r="196" spans="1:20" ht="15" thickBot="1" x14ac:dyDescent="0.35">
      <c r="A196" s="377" t="s">
        <v>129</v>
      </c>
      <c r="B196" s="381"/>
      <c r="C196" s="385">
        <f>C190*0.3</f>
        <v>6102</v>
      </c>
      <c r="D196" s="385">
        <f>D190*0.3</f>
        <v>6102</v>
      </c>
      <c r="E196" s="385">
        <f>E190*0.3</f>
        <v>5651.9309999999987</v>
      </c>
      <c r="F196" s="379">
        <f>F190*0.3</f>
        <v>450.06900000000093</v>
      </c>
      <c r="G196" s="305">
        <f>G190*0.3</f>
        <v>450.06900000000093</v>
      </c>
      <c r="H196" s="188">
        <v>12</v>
      </c>
      <c r="I196" s="188">
        <f>+I194</f>
        <v>0</v>
      </c>
      <c r="K196" s="224">
        <v>3063</v>
      </c>
      <c r="L196" s="231">
        <f t="shared" si="51"/>
        <v>3039</v>
      </c>
      <c r="S196" s="240"/>
    </row>
    <row r="197" spans="1:20" ht="15" thickBot="1" x14ac:dyDescent="0.35">
      <c r="A197" s="303"/>
      <c r="B197" s="189"/>
      <c r="G197" s="304"/>
      <c r="K197" s="224"/>
      <c r="L197" s="231">
        <f t="shared" si="51"/>
        <v>0</v>
      </c>
      <c r="S197" s="189"/>
    </row>
    <row r="198" spans="1:20" ht="15" thickBot="1" x14ac:dyDescent="0.35">
      <c r="A198" s="303" t="s">
        <v>130</v>
      </c>
      <c r="B198" s="189"/>
      <c r="C198" s="307">
        <f>C192-C194-C196</f>
        <v>67870.790305473754</v>
      </c>
      <c r="D198" s="307">
        <f t="shared" ref="D198:J198" si="52">D192-D194-D196</f>
        <v>67870.790305473754</v>
      </c>
      <c r="E198" s="307">
        <f t="shared" si="52"/>
        <v>74103.64499999999</v>
      </c>
      <c r="F198" s="307">
        <f t="shared" si="52"/>
        <v>-6232.8546945262406</v>
      </c>
      <c r="G198" s="307">
        <f t="shared" si="52"/>
        <v>-6232.8546945262406</v>
      </c>
      <c r="H198" s="308">
        <f t="shared" si="52"/>
        <v>-12</v>
      </c>
      <c r="I198" s="307">
        <f t="shared" si="52"/>
        <v>0</v>
      </c>
      <c r="J198" s="307">
        <f t="shared" si="52"/>
        <v>0</v>
      </c>
      <c r="K198" s="307">
        <v>58639.971196000006</v>
      </c>
      <c r="L198" s="307">
        <f>L192-L194-L196</f>
        <v>9230.8191094737522</v>
      </c>
      <c r="S198" s="189"/>
    </row>
    <row r="199" spans="1:20" ht="15" thickBot="1" x14ac:dyDescent="0.35">
      <c r="A199" s="303"/>
      <c r="B199" s="189"/>
      <c r="G199" s="304"/>
      <c r="K199" s="224"/>
      <c r="L199" s="231">
        <f>+C199-K199</f>
        <v>0</v>
      </c>
      <c r="S199" s="189"/>
    </row>
    <row r="200" spans="1:20" ht="15" thickBot="1" x14ac:dyDescent="0.35">
      <c r="A200" s="303" t="s">
        <v>139</v>
      </c>
      <c r="B200" s="189"/>
      <c r="C200" s="309">
        <f>C198/78*39</f>
        <v>33935.395152736877</v>
      </c>
      <c r="D200" s="307">
        <f>D198/78*39</f>
        <v>33935.395152736877</v>
      </c>
      <c r="E200" s="309">
        <f>E198/78*39</f>
        <v>37051.822499999995</v>
      </c>
      <c r="F200" s="310">
        <f>C200-E200</f>
        <v>-3116.4273472631176</v>
      </c>
      <c r="G200" s="311">
        <f>D200-E200</f>
        <v>-3116.4273472631176</v>
      </c>
      <c r="H200" s="188">
        <v>12</v>
      </c>
      <c r="I200" s="188">
        <f>+I198</f>
        <v>0</v>
      </c>
      <c r="K200" s="224">
        <v>29319.985598000003</v>
      </c>
      <c r="L200" s="231">
        <f>+C200-K200</f>
        <v>4615.4095547368743</v>
      </c>
      <c r="S200" s="189"/>
    </row>
    <row r="201" spans="1:20" ht="15" thickBot="1" x14ac:dyDescent="0.35">
      <c r="A201" s="303"/>
      <c r="B201" s="189"/>
      <c r="G201" s="304"/>
      <c r="K201" s="224"/>
      <c r="L201" s="231">
        <f>+C201-K201</f>
        <v>0</v>
      </c>
      <c r="S201" s="189"/>
    </row>
    <row r="202" spans="1:20" ht="15" thickBot="1" x14ac:dyDescent="0.35">
      <c r="A202" s="303" t="s">
        <v>138</v>
      </c>
      <c r="B202" s="189"/>
      <c r="C202" s="309">
        <f>C198/78*39</f>
        <v>33935.395152736877</v>
      </c>
      <c r="D202" s="307">
        <f>D198/78*39</f>
        <v>33935.395152736877</v>
      </c>
      <c r="E202" s="309">
        <f>E198/78*39</f>
        <v>37051.822499999995</v>
      </c>
      <c r="F202" s="310">
        <f>C202-E202</f>
        <v>-3116.4273472631176</v>
      </c>
      <c r="G202" s="311">
        <f>D202-E202</f>
        <v>-3116.4273472631176</v>
      </c>
      <c r="H202" s="188">
        <v>12</v>
      </c>
      <c r="I202" s="188">
        <f>+I200</f>
        <v>0</v>
      </c>
      <c r="K202" s="224">
        <v>29319.985598000003</v>
      </c>
      <c r="L202" s="231">
        <f>+C202-K202</f>
        <v>4615.4095547368743</v>
      </c>
      <c r="S202" s="189"/>
    </row>
    <row r="203" spans="1:20" x14ac:dyDescent="0.3">
      <c r="A203" s="303"/>
      <c r="B203" s="189"/>
      <c r="G203" s="304"/>
      <c r="K203" s="224"/>
      <c r="S203" s="189"/>
    </row>
    <row r="204" spans="1:20" ht="15" customHeight="1" thickBot="1" x14ac:dyDescent="0.35">
      <c r="A204" s="301"/>
      <c r="B204" s="312"/>
      <c r="C204" s="313"/>
      <c r="D204" s="314">
        <f>D202/40</f>
        <v>848.38487881842195</v>
      </c>
      <c r="E204" s="315"/>
      <c r="F204" s="315"/>
      <c r="G204" s="316"/>
      <c r="K204" s="224"/>
      <c r="S204" s="193"/>
    </row>
    <row r="205" spans="1:20" x14ac:dyDescent="0.3">
      <c r="A205" s="348"/>
      <c r="B205" s="193"/>
      <c r="C205" s="187" t="s">
        <v>131</v>
      </c>
      <c r="K205" s="224" t="s">
        <v>131</v>
      </c>
      <c r="S205" s="193"/>
    </row>
    <row r="206" spans="1:20" x14ac:dyDescent="0.3">
      <c r="B206" s="193"/>
      <c r="S206" s="193"/>
    </row>
    <row r="207" spans="1:20" x14ac:dyDescent="0.3">
      <c r="A207" s="292"/>
      <c r="B207" s="317"/>
      <c r="C207" s="259"/>
      <c r="S207" s="317"/>
    </row>
    <row r="208" spans="1:20" s="292" customFormat="1" x14ac:dyDescent="0.3">
      <c r="A208" s="209"/>
      <c r="B208" s="258"/>
      <c r="C208" s="259"/>
      <c r="S208" s="258"/>
      <c r="T208" s="259"/>
    </row>
    <row r="209" spans="1:20" s="292" customFormat="1" x14ac:dyDescent="0.3">
      <c r="A209" s="209" t="s">
        <v>294</v>
      </c>
      <c r="B209" s="258"/>
      <c r="C209" s="259"/>
      <c r="H209" s="292" t="s">
        <v>131</v>
      </c>
      <c r="S209" s="258"/>
      <c r="T209" s="259"/>
    </row>
    <row r="210" spans="1:20" s="292" customFormat="1" x14ac:dyDescent="0.3">
      <c r="A210" s="209"/>
      <c r="B210" s="258"/>
      <c r="C210" s="259"/>
      <c r="H210" s="292" t="s">
        <v>131</v>
      </c>
      <c r="S210" s="258"/>
      <c r="T210" s="259"/>
    </row>
    <row r="214" spans="1:20" s="292" customFormat="1" x14ac:dyDescent="0.3">
      <c r="A214" s="209" t="s">
        <v>133</v>
      </c>
      <c r="B214" s="258"/>
      <c r="C214" s="259"/>
      <c r="S214" s="258"/>
      <c r="T214" s="259"/>
    </row>
    <row r="215" spans="1:20" s="292" customFormat="1" x14ac:dyDescent="0.3">
      <c r="A215" s="209" t="s">
        <v>134</v>
      </c>
      <c r="B215" s="258"/>
      <c r="C215" s="259"/>
      <c r="S215" s="258"/>
      <c r="T215" s="259"/>
    </row>
    <row r="216" spans="1:20" x14ac:dyDescent="0.3">
      <c r="B216" s="189"/>
      <c r="S216" s="189"/>
    </row>
    <row r="217" spans="1:20" x14ac:dyDescent="0.3">
      <c r="B217" s="189"/>
      <c r="S217" s="189"/>
    </row>
    <row r="218" spans="1:20" x14ac:dyDescent="0.3">
      <c r="B218" s="189"/>
      <c r="S218" s="189"/>
    </row>
    <row r="219" spans="1:20" x14ac:dyDescent="0.3">
      <c r="B219" s="189"/>
      <c r="S219" s="189"/>
    </row>
    <row r="220" spans="1:20" x14ac:dyDescent="0.3">
      <c r="A220" s="209" t="s">
        <v>312</v>
      </c>
      <c r="B220" s="258"/>
      <c r="C220" s="259"/>
      <c r="S220" s="258"/>
    </row>
    <row r="221" spans="1:20" s="292" customFormat="1" x14ac:dyDescent="0.3">
      <c r="A221" s="209" t="s">
        <v>135</v>
      </c>
      <c r="B221" s="258"/>
      <c r="C221" s="259"/>
      <c r="S221" s="258"/>
      <c r="T221" s="259"/>
    </row>
    <row r="222" spans="1:20" s="292" customFormat="1" x14ac:dyDescent="0.3">
      <c r="A222" s="212"/>
      <c r="B222" s="189"/>
      <c r="C222" s="187"/>
      <c r="S222" s="189"/>
      <c r="T222" s="259"/>
    </row>
    <row r="223" spans="1:20" x14ac:dyDescent="0.3">
      <c r="B223" s="189"/>
      <c r="S223" s="189"/>
    </row>
    <row r="224" spans="1:20" x14ac:dyDescent="0.3">
      <c r="B224" s="189"/>
      <c r="S224" s="189"/>
    </row>
    <row r="240" spans="7:8" x14ac:dyDescent="0.3">
      <c r="G240" s="188">
        <v>423.25</v>
      </c>
      <c r="H240" s="188">
        <f>+G240*60%</f>
        <v>253.95</v>
      </c>
    </row>
    <row r="241" spans="7:7" x14ac:dyDescent="0.3">
      <c r="G241" s="188">
        <f>1622.8/8</f>
        <v>202.85</v>
      </c>
    </row>
  </sheetData>
  <protectedRanges>
    <protectedRange password="C753" sqref="A180:C180 H180:K180 M180:IV180" name="Staffcontractorscost2"/>
    <protectedRange password="C753" sqref="A176:C176 K176 M176:IV176" name="Total tenant2"/>
    <protectedRange password="C753" sqref="K170 A170:E170 M170:IV170" name="Total income2"/>
    <protectedRange password="C753" sqref="A129:C129 J129:K129 M129:T129 V129:IV129" name="Admin service cost"/>
    <protectedRange password="C753" sqref="A78:C78 J78:K78 M78:T78 V78:IV78" name="Total estate maintenance"/>
    <protectedRange password="C753" sqref="A25:C25 H25:K25 M25:T25 V25:IV25" name="Total income"/>
    <protectedRange password="C753" sqref="M131:S131 H131:K131 V131:IV131 A131:B131" name="Total SC"/>
    <protectedRange password="C753" sqref="A168:C168 K168 M168:T168 V168:IV168" name="Improvement"/>
    <protectedRange password="C753" sqref="A174:C174 H174:K174 M174:IV174" name="Total service2"/>
    <protectedRange password="C753" sqref="A178:C178 H178:K178 M178:IV178" name="Totalimprovement2"/>
    <protectedRange password="C753" sqref="W182:IV182 A182:B182" name="Netsurplus"/>
    <protectedRange password="C753" sqref="A189:C202 D193:I193 D195:I195 D201:I201 J189:J195 D199:I199 D198:L198 K189:K197 D197:J197 J199:K202 M189:IV202" name="Last box"/>
    <protectedRange password="C753" sqref="E3:E4" name="Actual figure_1"/>
    <protectedRange password="C753" sqref="E27" name="Actual figure_4"/>
    <protectedRange password="C753" sqref="E28:E35" name="Actual figure_2_2"/>
    <protectedRange password="C753" sqref="D78:I78" name="Total estate maintenance_1"/>
    <protectedRange password="C753" sqref="T41 E37 E40:E77" name="Actual figure"/>
    <protectedRange password="C753" sqref="E80:E96" name="Actual figure_3"/>
    <protectedRange password="C753" sqref="D96:H96 I97" name="Contractor cost_1"/>
    <protectedRange password="C753" sqref="D129:I129" name="Admin service cost_1"/>
    <protectedRange password="C753" sqref="E98:E129" name="Actual figure_2"/>
    <protectedRange password="C753" sqref="C131:G131 T131" name="Actual figure_5"/>
    <protectedRange password="C753" sqref="C131:G131 T131" name="Total SC_1"/>
    <protectedRange password="C753" sqref="E133:E153" name="Actual figure_6"/>
    <protectedRange password="C753" sqref="E156:E168" name="Actual figure_8"/>
    <protectedRange password="C753" sqref="D168:J168" name="Improvement_1"/>
    <protectedRange password="C753" sqref="H170:J170" name="Total income2_1"/>
    <protectedRange password="C753" sqref="D174:F174" name="Total service2_1"/>
    <protectedRange password="C753" sqref="D176:F176 F154:G154 H176:J176" name="Total tenant2_1"/>
    <protectedRange password="C753" sqref="E176" name="Actual figure_11"/>
    <protectedRange password="C753" sqref="E178" name="Actual figure_12"/>
    <protectedRange password="C753" sqref="D178:F178" name="Totalimprovement2_1"/>
    <protectedRange password="C753" sqref="F180 F182 H182:V182" name="Staffcontractorscost2_1"/>
    <protectedRange password="C753" sqref="G185" name="Netsurplus_1"/>
    <protectedRange password="C753" sqref="C185:F185 H185:J185" name="TotalincomeminusABC_1"/>
    <protectedRange password="C753" sqref="E184" name="Actual figure_15"/>
    <protectedRange password="C753" sqref="E188:E192" name="Actual figure_16"/>
    <protectedRange password="C753" sqref="D189:I192" name="Last box_1"/>
    <protectedRange password="C753" sqref="E194" name="Actual figure_17"/>
    <protectedRange password="C753" sqref="D194:I194" name="Last box_2"/>
    <protectedRange password="C753" sqref="E196" name="Actual figure_18"/>
    <protectedRange password="C753" sqref="D196:J196" name="Last box_3"/>
    <protectedRange password="C753" sqref="E200" name="Actual figure_20"/>
    <protectedRange password="C753" sqref="D200:I200" name="Last box_5"/>
    <protectedRange password="C753" sqref="E202" name="Actual figure_21"/>
    <protectedRange password="C753" sqref="D202:I202" name="Last box_6"/>
  </protectedRanges>
  <conditionalFormatting sqref="A206">
    <cfRule type="cellIs" dxfId="14" priority="7" stopIfTrue="1" operator="lessThan">
      <formula>0</formula>
    </cfRule>
  </conditionalFormatting>
  <conditionalFormatting sqref="C183">
    <cfRule type="cellIs" dxfId="13" priority="2" stopIfTrue="1" operator="equal">
      <formula>0</formula>
    </cfRule>
  </conditionalFormatting>
  <conditionalFormatting sqref="D1:D2 C3:C130 D38:G38 C132:C182 D154:E154 D170:E170 D182:E182 C186:C210 D198:L198 C214:C65536">
    <cfRule type="cellIs" dxfId="12" priority="10" stopIfTrue="1" operator="lessThan">
      <formula>0</formula>
    </cfRule>
  </conditionalFormatting>
  <conditionalFormatting sqref="F3">
    <cfRule type="cellIs" dxfId="11" priority="3" stopIfTrue="1" operator="lessThan">
      <formula>0</formula>
    </cfRule>
  </conditionalFormatting>
  <conditionalFormatting sqref="F4 F27 F40 F80 F98 F133 F156 F188">
    <cfRule type="cellIs" dxfId="10" priority="9" stopIfTrue="1" operator="lessThan">
      <formula>0</formula>
    </cfRule>
  </conditionalFormatting>
  <conditionalFormatting sqref="F5:F25 F28:F37 F41:F77 F82:F95 F99:F128 F134:F153 F170">
    <cfRule type="cellIs" dxfId="9" priority="8" stopIfTrue="1" operator="lessThan">
      <formula>0</formula>
    </cfRule>
  </conditionalFormatting>
  <conditionalFormatting sqref="F81 F96 F154 F157:F168 F172:F173 F176 F178 F180 F182 H182:V182 F184">
    <cfRule type="cellIs" dxfId="8" priority="11" stopIfTrue="1" operator="lessThan">
      <formula>0</formula>
    </cfRule>
  </conditionalFormatting>
  <conditionalFormatting sqref="F129:G129 F189:F192 F194 F196 F200 F202">
    <cfRule type="cellIs" dxfId="7" priority="6" stopIfTrue="1" operator="lessThan">
      <formula>0</formula>
    </cfRule>
  </conditionalFormatting>
  <conditionalFormatting sqref="G3:G25 G27:G37 G40:G77 G80:G96 G98:G128 G133:G154 G156:G168 G170 G172:G173 G176 G178 G180 G188:G191 G194 G196 G200 G202">
    <cfRule type="cellIs" dxfId="6" priority="12" stopIfTrue="1" operator="lessThan">
      <formula>0</formula>
    </cfRule>
  </conditionalFormatting>
  <conditionalFormatting sqref="G184">
    <cfRule type="cellIs" dxfId="5" priority="4" stopIfTrue="1" operator="lessThan">
      <formula>0</formula>
    </cfRule>
  </conditionalFormatting>
  <conditionalFormatting sqref="G185">
    <cfRule type="cellIs" dxfId="4" priority="5" stopIfTrue="1" operator="greaterThan">
      <formula>0</formula>
    </cfRule>
  </conditionalFormatting>
  <conditionalFormatting sqref="W5">
    <cfRule type="iconSet" priority="1">
      <iconSet iconSet="3Arrows">
        <cfvo type="percent" val="0"/>
        <cfvo type="percent" val="33"/>
        <cfvo type="percent" val="67"/>
      </iconSet>
    </cfRule>
  </conditionalFormatting>
  <pageMargins left="0.63" right="0.42" top="0.37" bottom="0.21" header="0.22" footer="0.21"/>
  <pageSetup paperSize="9" scale="63" orientation="portrait" r:id="rId1"/>
  <headerFooter alignWithMargins="0">
    <oddHeader>&amp;L&amp;D&amp;CPage &amp;P&amp;R&amp;F</oddHeader>
  </headerFooter>
  <rowBreaks count="3" manualBreakCount="3">
    <brk id="79" max="6" man="1"/>
    <brk id="154" max="6" man="1"/>
    <brk id="222" max="7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tabColor indexed="42"/>
  </sheetPr>
  <dimension ref="A1:M104"/>
  <sheetViews>
    <sheetView view="pageBreakPreview" topLeftCell="A59" zoomScaleNormal="100" zoomScaleSheetLayoutView="100" workbookViewId="0">
      <selection activeCell="Z10" sqref="Z10"/>
    </sheetView>
  </sheetViews>
  <sheetFormatPr defaultColWidth="9.109375" defaultRowHeight="13.2" x14ac:dyDescent="0.25"/>
  <cols>
    <col min="1" max="1" width="23.44140625" style="40" customWidth="1"/>
    <col min="2" max="2" width="11" style="40" customWidth="1"/>
    <col min="3" max="3" width="11.33203125" style="40" customWidth="1"/>
    <col min="4" max="4" width="13.5546875" style="41" customWidth="1"/>
    <col min="5" max="5" width="12.88671875" style="41" customWidth="1"/>
    <col min="6" max="6" width="14.44140625" style="41" customWidth="1"/>
    <col min="7" max="7" width="12.6640625" style="41" customWidth="1"/>
    <col min="8" max="8" width="13.6640625" style="40" customWidth="1"/>
    <col min="9" max="9" width="11.6640625" style="40" customWidth="1"/>
    <col min="10" max="10" width="12.109375" style="40" customWidth="1"/>
    <col min="11" max="11" width="10.33203125" style="40" bestFit="1" customWidth="1"/>
    <col min="12" max="12" width="10.6640625" style="41" customWidth="1"/>
    <col min="13" max="13" width="11" style="18" hidden="1" customWidth="1"/>
    <col min="14" max="14" width="9.109375" style="18"/>
    <col min="15" max="15" width="10" style="18" bestFit="1" customWidth="1"/>
    <col min="16" max="16" width="9.109375" style="18"/>
    <col min="17" max="17" width="10" style="18" bestFit="1" customWidth="1"/>
    <col min="18" max="16384" width="9.109375" style="18"/>
  </cols>
  <sheetData>
    <row r="1" spans="1:12" ht="13.8" thickBot="1" x14ac:dyDescent="0.3">
      <c r="A1" s="83" t="s">
        <v>158</v>
      </c>
      <c r="B1" s="84"/>
      <c r="C1" s="85"/>
      <c r="D1" s="85"/>
      <c r="E1" s="84" t="s">
        <v>320</v>
      </c>
      <c r="F1" s="84"/>
      <c r="G1" s="84"/>
      <c r="H1" s="86" t="s">
        <v>159</v>
      </c>
    </row>
    <row r="2" spans="1:12" x14ac:dyDescent="0.25">
      <c r="A2" s="18"/>
      <c r="B2" s="22"/>
      <c r="C2" s="18"/>
      <c r="D2" s="18"/>
      <c r="E2" s="22"/>
      <c r="F2" s="22"/>
      <c r="G2" s="22"/>
      <c r="H2" s="18"/>
    </row>
    <row r="3" spans="1:12" ht="13.8" thickBot="1" x14ac:dyDescent="0.3">
      <c r="A3" s="17"/>
      <c r="B3" s="22"/>
      <c r="C3" s="18"/>
      <c r="D3" s="18"/>
      <c r="E3" s="22"/>
      <c r="F3" s="22"/>
      <c r="G3" s="22"/>
      <c r="H3" s="18"/>
    </row>
    <row r="4" spans="1:12" s="43" customFormat="1" ht="24" customHeight="1" thickBot="1" x14ac:dyDescent="0.3">
      <c r="A4" s="357" t="s">
        <v>160</v>
      </c>
      <c r="B4" s="87" t="s">
        <v>2</v>
      </c>
      <c r="C4" s="88" t="s">
        <v>161</v>
      </c>
      <c r="D4" s="88" t="s">
        <v>162</v>
      </c>
      <c r="E4" s="88" t="s">
        <v>163</v>
      </c>
      <c r="F4" s="88" t="s">
        <v>164</v>
      </c>
      <c r="G4" s="88" t="s">
        <v>167</v>
      </c>
      <c r="H4" s="94" t="s">
        <v>292</v>
      </c>
    </row>
    <row r="5" spans="1:12" ht="14.4" x14ac:dyDescent="0.3">
      <c r="A5" s="8" t="s">
        <v>23</v>
      </c>
      <c r="B5" s="36">
        <v>6000</v>
      </c>
      <c r="C5" s="45">
        <v>2900</v>
      </c>
      <c r="D5" s="46">
        <v>0.5</v>
      </c>
      <c r="E5" s="47">
        <v>2900</v>
      </c>
      <c r="F5" s="48">
        <v>0.5</v>
      </c>
      <c r="G5" s="93">
        <v>3000</v>
      </c>
      <c r="H5" s="49">
        <f>+G5+E5+C5</f>
        <v>8800</v>
      </c>
      <c r="I5" s="393">
        <f>+E5+C5</f>
        <v>5800</v>
      </c>
      <c r="J5" s="18"/>
      <c r="K5" s="18"/>
      <c r="L5" s="18"/>
    </row>
    <row r="6" spans="1:12" ht="14.4" x14ac:dyDescent="0.3">
      <c r="A6" s="8" t="s">
        <v>174</v>
      </c>
      <c r="B6" s="27">
        <v>6020</v>
      </c>
      <c r="C6" s="45">
        <v>500</v>
      </c>
      <c r="D6" s="46">
        <v>0.5</v>
      </c>
      <c r="E6" s="47">
        <v>500</v>
      </c>
      <c r="F6" s="48">
        <v>0.5</v>
      </c>
      <c r="G6" s="93">
        <v>1500</v>
      </c>
      <c r="H6" s="49">
        <f t="shared" ref="H6:H14" si="0">+G6+E6+C6</f>
        <v>2500</v>
      </c>
      <c r="I6" s="393">
        <f t="shared" ref="I6:I14" si="1">+E6+C6</f>
        <v>1000</v>
      </c>
      <c r="J6" s="18"/>
      <c r="K6" s="18"/>
      <c r="L6" s="18"/>
    </row>
    <row r="7" spans="1:12" ht="14.4" x14ac:dyDescent="0.3">
      <c r="A7" s="8" t="s">
        <v>27</v>
      </c>
      <c r="B7" s="27">
        <v>6026</v>
      </c>
      <c r="C7" s="45">
        <v>500</v>
      </c>
      <c r="D7" s="46">
        <v>0.5</v>
      </c>
      <c r="E7" s="47">
        <v>500</v>
      </c>
      <c r="F7" s="48">
        <v>0.5</v>
      </c>
      <c r="G7" s="48"/>
      <c r="H7" s="49">
        <f t="shared" si="0"/>
        <v>1000</v>
      </c>
      <c r="I7" s="393">
        <f t="shared" si="1"/>
        <v>1000</v>
      </c>
      <c r="J7" s="18"/>
      <c r="K7" s="18"/>
      <c r="L7" s="18"/>
    </row>
    <row r="8" spans="1:12" ht="14.4" x14ac:dyDescent="0.3">
      <c r="A8" s="8" t="s">
        <v>28</v>
      </c>
      <c r="B8" s="27">
        <v>6027</v>
      </c>
      <c r="C8" s="45">
        <v>150</v>
      </c>
      <c r="D8" s="46">
        <v>0.5</v>
      </c>
      <c r="E8" s="47">
        <v>150</v>
      </c>
      <c r="F8" s="48">
        <v>0.5</v>
      </c>
      <c r="G8" s="48"/>
      <c r="H8" s="49">
        <f t="shared" si="0"/>
        <v>300</v>
      </c>
      <c r="I8" s="393">
        <f t="shared" si="1"/>
        <v>300</v>
      </c>
      <c r="J8" s="18"/>
      <c r="K8" s="18"/>
      <c r="L8" s="18"/>
    </row>
    <row r="9" spans="1:12" ht="14.4" x14ac:dyDescent="0.3">
      <c r="A9" s="8" t="s">
        <v>175</v>
      </c>
      <c r="B9" s="27">
        <v>6060</v>
      </c>
      <c r="C9" s="45">
        <v>150</v>
      </c>
      <c r="D9" s="46">
        <v>0.5</v>
      </c>
      <c r="E9" s="47">
        <v>150</v>
      </c>
      <c r="F9" s="48">
        <v>0.5</v>
      </c>
      <c r="G9" s="48"/>
      <c r="H9" s="49">
        <f t="shared" si="0"/>
        <v>300</v>
      </c>
      <c r="I9" s="393">
        <f t="shared" si="1"/>
        <v>300</v>
      </c>
      <c r="J9" s="18"/>
      <c r="K9" s="18"/>
      <c r="L9" s="18"/>
    </row>
    <row r="10" spans="1:12" ht="14.4" x14ac:dyDescent="0.3">
      <c r="A10" s="8" t="s">
        <v>176</v>
      </c>
      <c r="B10" s="27">
        <v>6061</v>
      </c>
      <c r="C10" s="45">
        <v>150</v>
      </c>
      <c r="D10" s="46">
        <v>0.5</v>
      </c>
      <c r="E10" s="47">
        <v>150</v>
      </c>
      <c r="F10" s="48">
        <v>0.5</v>
      </c>
      <c r="G10" s="48"/>
      <c r="H10" s="49">
        <f t="shared" si="0"/>
        <v>300</v>
      </c>
      <c r="I10" s="393">
        <f t="shared" si="1"/>
        <v>300</v>
      </c>
      <c r="J10" s="18"/>
      <c r="K10" s="18"/>
      <c r="L10" s="18"/>
    </row>
    <row r="11" spans="1:12" ht="14.4" x14ac:dyDescent="0.3">
      <c r="A11" s="8" t="s">
        <v>39</v>
      </c>
      <c r="B11" s="27">
        <v>6090</v>
      </c>
      <c r="C11" s="45">
        <v>0</v>
      </c>
      <c r="D11" s="46">
        <v>0.5</v>
      </c>
      <c r="E11" s="47">
        <v>0</v>
      </c>
      <c r="F11" s="48">
        <v>0.5</v>
      </c>
      <c r="G11" s="48"/>
      <c r="H11" s="49">
        <f t="shared" si="0"/>
        <v>0</v>
      </c>
      <c r="I11" s="393">
        <f t="shared" si="1"/>
        <v>0</v>
      </c>
      <c r="J11" s="18"/>
      <c r="K11" s="18"/>
      <c r="L11" s="18"/>
    </row>
    <row r="12" spans="1:12" ht="14.4" x14ac:dyDescent="0.3">
      <c r="A12" s="8" t="s">
        <v>34</v>
      </c>
      <c r="B12" s="27">
        <v>6040</v>
      </c>
      <c r="C12" s="45">
        <v>0</v>
      </c>
      <c r="D12" s="46">
        <v>0.5</v>
      </c>
      <c r="E12" s="47">
        <v>0</v>
      </c>
      <c r="F12" s="48">
        <v>0.5</v>
      </c>
      <c r="G12" s="48"/>
      <c r="H12" s="49">
        <f t="shared" si="0"/>
        <v>0</v>
      </c>
      <c r="I12" s="393">
        <f t="shared" si="1"/>
        <v>0</v>
      </c>
      <c r="J12" s="18"/>
      <c r="K12" s="18"/>
      <c r="L12" s="18"/>
    </row>
    <row r="13" spans="1:12" ht="14.4" x14ac:dyDescent="0.3">
      <c r="A13" s="356" t="s">
        <v>42</v>
      </c>
      <c r="B13" s="355">
        <v>6140</v>
      </c>
      <c r="C13" s="45">
        <v>250</v>
      </c>
      <c r="D13" s="46">
        <v>0.5</v>
      </c>
      <c r="E13" s="47">
        <v>250</v>
      </c>
      <c r="F13" s="48">
        <v>0.5</v>
      </c>
      <c r="G13" s="48"/>
      <c r="H13" s="49">
        <f t="shared" si="0"/>
        <v>500</v>
      </c>
      <c r="I13" s="393">
        <f t="shared" si="1"/>
        <v>500</v>
      </c>
      <c r="J13" s="18"/>
      <c r="K13" s="18"/>
      <c r="L13" s="18"/>
    </row>
    <row r="14" spans="1:12" ht="14.4" x14ac:dyDescent="0.3">
      <c r="A14" s="356" t="s">
        <v>50</v>
      </c>
      <c r="B14" s="208">
        <v>6175</v>
      </c>
      <c r="C14" s="47">
        <v>450</v>
      </c>
      <c r="D14" s="46">
        <v>0.5</v>
      </c>
      <c r="E14" s="47">
        <v>450</v>
      </c>
      <c r="F14" s="48">
        <v>0.5</v>
      </c>
      <c r="G14" s="48"/>
      <c r="H14" s="49">
        <f t="shared" si="0"/>
        <v>900</v>
      </c>
      <c r="I14" s="393">
        <f t="shared" si="1"/>
        <v>900</v>
      </c>
      <c r="J14" s="18"/>
      <c r="K14" s="18"/>
      <c r="L14" s="18"/>
    </row>
    <row r="15" spans="1:12" ht="13.8" thickBot="1" x14ac:dyDescent="0.3">
      <c r="A15" s="32"/>
      <c r="B15" s="22"/>
      <c r="C15" s="352"/>
      <c r="D15" s="353"/>
      <c r="E15" s="352"/>
      <c r="F15" s="353"/>
      <c r="G15" s="19"/>
      <c r="H15" s="354"/>
      <c r="I15" s="18"/>
      <c r="J15" s="18"/>
      <c r="K15" s="18"/>
      <c r="L15" s="18"/>
    </row>
    <row r="16" spans="1:12" ht="13.8" thickBot="1" x14ac:dyDescent="0.3">
      <c r="A16" s="89" t="s">
        <v>60</v>
      </c>
      <c r="B16" s="90"/>
      <c r="C16" s="91">
        <f>SUM(C5:C14)</f>
        <v>5050</v>
      </c>
      <c r="D16" s="92"/>
      <c r="E16" s="91">
        <f>SUM(E5:E14)</f>
        <v>5050</v>
      </c>
      <c r="F16" s="92"/>
      <c r="G16" s="91">
        <f>SUM(G5:G12)</f>
        <v>4500</v>
      </c>
      <c r="H16" s="91">
        <f>SUM(H5:H14)</f>
        <v>14600</v>
      </c>
      <c r="I16" s="40">
        <f>+H16-G16-E16-C16</f>
        <v>0</v>
      </c>
      <c r="J16" s="18"/>
      <c r="K16" s="18"/>
      <c r="L16" s="18"/>
    </row>
    <row r="17" spans="2:12" x14ac:dyDescent="0.25">
      <c r="F17" s="51"/>
      <c r="G17" s="51"/>
      <c r="I17" s="40">
        <f>10100-H16</f>
        <v>-4500</v>
      </c>
    </row>
    <row r="18" spans="2:12" x14ac:dyDescent="0.25">
      <c r="F18" s="51"/>
      <c r="G18" s="51"/>
      <c r="H18" s="40" t="s">
        <v>131</v>
      </c>
    </row>
    <row r="19" spans="2:12" hidden="1" x14ac:dyDescent="0.25">
      <c r="F19" s="51"/>
      <c r="G19" s="51"/>
    </row>
    <row r="20" spans="2:12" hidden="1" x14ac:dyDescent="0.25"/>
    <row r="21" spans="2:12" hidden="1" x14ac:dyDescent="0.25"/>
    <row r="22" spans="2:12" hidden="1" x14ac:dyDescent="0.25">
      <c r="B22" s="41"/>
      <c r="C22" s="41"/>
      <c r="E22" s="40"/>
      <c r="F22" s="40"/>
      <c r="G22" s="40"/>
      <c r="J22" s="41"/>
      <c r="K22" s="18"/>
      <c r="L22" s="18"/>
    </row>
    <row r="23" spans="2:12" hidden="1" x14ac:dyDescent="0.25">
      <c r="B23" s="41"/>
      <c r="C23" s="41"/>
      <c r="E23" s="40"/>
      <c r="F23" s="40"/>
      <c r="G23" s="40"/>
      <c r="J23" s="41"/>
      <c r="K23" s="18"/>
      <c r="L23" s="18"/>
    </row>
    <row r="24" spans="2:12" hidden="1" x14ac:dyDescent="0.25">
      <c r="B24" s="41"/>
      <c r="C24" s="41"/>
      <c r="E24" s="40"/>
      <c r="F24" s="40"/>
      <c r="G24" s="40"/>
      <c r="J24" s="41"/>
      <c r="K24" s="18"/>
      <c r="L24" s="18"/>
    </row>
    <row r="25" spans="2:12" hidden="1" x14ac:dyDescent="0.25">
      <c r="B25" s="41"/>
      <c r="C25" s="41"/>
      <c r="E25" s="40"/>
      <c r="F25" s="40"/>
      <c r="G25" s="40"/>
      <c r="J25" s="41"/>
      <c r="K25" s="18"/>
      <c r="L25" s="18"/>
    </row>
    <row r="26" spans="2:12" hidden="1" x14ac:dyDescent="0.25">
      <c r="B26" s="41"/>
      <c r="C26" s="41"/>
      <c r="E26" s="40"/>
      <c r="F26" s="40"/>
      <c r="G26" s="40"/>
      <c r="J26" s="41"/>
      <c r="K26" s="18"/>
      <c r="L26" s="18"/>
    </row>
    <row r="27" spans="2:12" hidden="1" x14ac:dyDescent="0.25">
      <c r="B27" s="41"/>
      <c r="C27" s="41"/>
      <c r="E27" s="40"/>
      <c r="F27" s="40"/>
      <c r="G27" s="40"/>
      <c r="J27" s="41"/>
      <c r="K27" s="18"/>
      <c r="L27" s="18"/>
    </row>
    <row r="28" spans="2:12" hidden="1" x14ac:dyDescent="0.25">
      <c r="B28" s="41"/>
      <c r="C28" s="41"/>
      <c r="E28" s="40"/>
      <c r="F28" s="40"/>
      <c r="G28" s="40"/>
      <c r="J28" s="41"/>
      <c r="K28" s="18"/>
      <c r="L28" s="18"/>
    </row>
    <row r="29" spans="2:12" hidden="1" x14ac:dyDescent="0.25">
      <c r="B29" s="41"/>
      <c r="C29" s="41"/>
      <c r="E29" s="40"/>
      <c r="F29" s="40"/>
      <c r="G29" s="40"/>
      <c r="J29" s="41"/>
      <c r="K29" s="18"/>
      <c r="L29" s="18"/>
    </row>
    <row r="30" spans="2:12" hidden="1" x14ac:dyDescent="0.25">
      <c r="B30" s="41"/>
      <c r="C30" s="41"/>
      <c r="E30" s="40"/>
      <c r="F30" s="40"/>
      <c r="G30" s="40"/>
      <c r="J30" s="41"/>
      <c r="K30" s="18"/>
      <c r="L30" s="18"/>
    </row>
    <row r="31" spans="2:12" hidden="1" x14ac:dyDescent="0.25">
      <c r="B31" s="41"/>
      <c r="C31" s="41"/>
      <c r="E31" s="40"/>
      <c r="F31" s="40"/>
      <c r="G31" s="40"/>
      <c r="J31" s="41"/>
      <c r="K31" s="18"/>
      <c r="L31" s="18"/>
    </row>
    <row r="32" spans="2:12" hidden="1" x14ac:dyDescent="0.25"/>
    <row r="33" spans="1:12" hidden="1" x14ac:dyDescent="0.25"/>
    <row r="34" spans="1:12" hidden="1" x14ac:dyDescent="0.25"/>
    <row r="35" spans="1:12" hidden="1" x14ac:dyDescent="0.25"/>
    <row r="36" spans="1:12" hidden="1" x14ac:dyDescent="0.25"/>
    <row r="37" spans="1:12" hidden="1" x14ac:dyDescent="0.25"/>
    <row r="38" spans="1:12" hidden="1" x14ac:dyDescent="0.25">
      <c r="A38" s="41"/>
      <c r="B38" s="41"/>
      <c r="C38" s="41"/>
      <c r="D38" s="40"/>
      <c r="E38" s="40"/>
      <c r="F38" s="40"/>
      <c r="G38" s="40"/>
      <c r="I38" s="41"/>
      <c r="J38" s="18"/>
      <c r="K38" s="18"/>
      <c r="L38" s="18"/>
    </row>
    <row r="39" spans="1:12" hidden="1" x14ac:dyDescent="0.25">
      <c r="A39" s="41"/>
      <c r="B39" s="41"/>
      <c r="C39" s="41"/>
      <c r="D39" s="40"/>
      <c r="E39" s="40"/>
      <c r="F39" s="40"/>
      <c r="G39" s="40"/>
      <c r="I39" s="41"/>
      <c r="J39" s="18"/>
      <c r="K39" s="18"/>
      <c r="L39" s="18"/>
    </row>
    <row r="40" spans="1:12" hidden="1" x14ac:dyDescent="0.25">
      <c r="A40" s="41"/>
      <c r="B40" s="41"/>
      <c r="C40" s="41"/>
      <c r="D40" s="40"/>
      <c r="E40" s="40"/>
      <c r="F40" s="40"/>
      <c r="G40" s="40"/>
      <c r="I40" s="41"/>
      <c r="J40" s="18"/>
      <c r="K40" s="18"/>
      <c r="L40" s="18"/>
    </row>
    <row r="41" spans="1:12" hidden="1" x14ac:dyDescent="0.25">
      <c r="A41" s="41"/>
      <c r="B41" s="41"/>
      <c r="C41" s="41"/>
      <c r="D41" s="40"/>
      <c r="E41" s="40"/>
      <c r="F41" s="40"/>
      <c r="G41" s="40"/>
      <c r="I41" s="41"/>
      <c r="J41" s="18"/>
      <c r="K41" s="18"/>
      <c r="L41" s="18"/>
    </row>
    <row r="42" spans="1:12" hidden="1" x14ac:dyDescent="0.25">
      <c r="A42" s="41"/>
      <c r="B42" s="41"/>
      <c r="C42" s="41"/>
      <c r="D42" s="40"/>
      <c r="E42" s="40"/>
      <c r="F42" s="40"/>
      <c r="G42" s="40"/>
      <c r="I42" s="41"/>
      <c r="J42" s="18"/>
      <c r="K42" s="18"/>
      <c r="L42" s="18"/>
    </row>
    <row r="43" spans="1:12" hidden="1" x14ac:dyDescent="0.25">
      <c r="A43" s="41"/>
      <c r="B43" s="41"/>
      <c r="C43" s="41"/>
      <c r="D43" s="40"/>
      <c r="E43" s="40"/>
      <c r="F43" s="40"/>
      <c r="G43" s="40"/>
      <c r="I43" s="41"/>
      <c r="J43" s="18"/>
      <c r="K43" s="18"/>
      <c r="L43" s="18"/>
    </row>
    <row r="44" spans="1:12" hidden="1" x14ac:dyDescent="0.25">
      <c r="A44" s="41"/>
      <c r="B44" s="41"/>
      <c r="C44" s="41"/>
      <c r="D44" s="40"/>
      <c r="E44" s="40"/>
      <c r="F44" s="40"/>
      <c r="G44" s="40"/>
      <c r="I44" s="41"/>
      <c r="J44" s="18"/>
      <c r="K44" s="18"/>
      <c r="L44" s="18"/>
    </row>
    <row r="45" spans="1:12" hidden="1" x14ac:dyDescent="0.25">
      <c r="A45" s="41"/>
      <c r="B45" s="41"/>
      <c r="C45" s="41"/>
      <c r="D45" s="40"/>
      <c r="E45" s="40"/>
      <c r="F45" s="40"/>
      <c r="G45" s="40"/>
      <c r="I45" s="41"/>
      <c r="J45" s="18"/>
      <c r="K45" s="18"/>
      <c r="L45" s="18"/>
    </row>
    <row r="46" spans="1:12" hidden="1" x14ac:dyDescent="0.25">
      <c r="A46" s="41"/>
      <c r="B46" s="41"/>
      <c r="C46" s="41"/>
      <c r="D46" s="40"/>
      <c r="E46" s="40"/>
      <c r="F46" s="40"/>
      <c r="G46" s="40"/>
      <c r="I46" s="41"/>
      <c r="J46" s="18"/>
      <c r="K46" s="18"/>
      <c r="L46" s="18"/>
    </row>
    <row r="47" spans="1:12" hidden="1" x14ac:dyDescent="0.25">
      <c r="A47" s="41"/>
      <c r="B47" s="41"/>
      <c r="C47" s="41"/>
      <c r="D47" s="40"/>
      <c r="E47" s="40"/>
      <c r="F47" s="40"/>
      <c r="G47" s="40"/>
      <c r="I47" s="41"/>
      <c r="J47" s="18"/>
      <c r="K47" s="18"/>
      <c r="L47" s="18"/>
    </row>
    <row r="48" spans="1:12" hidden="1" x14ac:dyDescent="0.25"/>
    <row r="49" spans="1:10" hidden="1" x14ac:dyDescent="0.25"/>
    <row r="50" spans="1:10" hidden="1" x14ac:dyDescent="0.25"/>
    <row r="51" spans="1:10" hidden="1" x14ac:dyDescent="0.25"/>
    <row r="52" spans="1:10" hidden="1" x14ac:dyDescent="0.25"/>
    <row r="53" spans="1:10" hidden="1" x14ac:dyDescent="0.25"/>
    <row r="54" spans="1:10" hidden="1" x14ac:dyDescent="0.25"/>
    <row r="55" spans="1:10" hidden="1" x14ac:dyDescent="0.25"/>
    <row r="56" spans="1:10" ht="13.8" thickBot="1" x14ac:dyDescent="0.3"/>
    <row r="57" spans="1:10" ht="13.8" thickBot="1" x14ac:dyDescent="0.3">
      <c r="A57" s="52" t="s">
        <v>158</v>
      </c>
      <c r="B57" s="53"/>
      <c r="C57" s="54"/>
      <c r="D57" s="55"/>
      <c r="E57" s="56" t="str">
        <f>+E1</f>
        <v>2015-16</v>
      </c>
      <c r="F57" s="56" t="s">
        <v>166</v>
      </c>
      <c r="G57" s="77"/>
    </row>
    <row r="58" spans="1:10" x14ac:dyDescent="0.25">
      <c r="A58" s="18"/>
      <c r="B58" s="22"/>
      <c r="D58" s="40"/>
      <c r="E58" s="40"/>
      <c r="F58" s="40"/>
      <c r="G58" s="40"/>
    </row>
    <row r="59" spans="1:10" ht="13.8" thickBot="1" x14ac:dyDescent="0.3">
      <c r="A59" s="18"/>
      <c r="B59" s="22"/>
      <c r="D59" s="40"/>
      <c r="E59" s="40"/>
      <c r="F59" s="40"/>
      <c r="G59" s="40"/>
    </row>
    <row r="60" spans="1:10" ht="24.6" thickBot="1" x14ac:dyDescent="0.3">
      <c r="A60" s="57" t="s">
        <v>160</v>
      </c>
      <c r="B60" s="57" t="s">
        <v>2</v>
      </c>
      <c r="C60" s="58" t="s">
        <v>161</v>
      </c>
      <c r="D60" s="58" t="s">
        <v>163</v>
      </c>
      <c r="E60" s="58" t="s">
        <v>167</v>
      </c>
      <c r="F60" s="136" t="s">
        <v>292</v>
      </c>
      <c r="G60" s="136" t="s">
        <v>293</v>
      </c>
      <c r="I60" s="40" t="s">
        <v>131</v>
      </c>
    </row>
    <row r="61" spans="1:10" x14ac:dyDescent="0.25">
      <c r="A61" s="82" t="s">
        <v>23</v>
      </c>
      <c r="B61" s="36">
        <v>6000</v>
      </c>
      <c r="C61" s="47">
        <v>1995.39</v>
      </c>
      <c r="D61" s="47">
        <v>2203</v>
      </c>
      <c r="E61" s="47">
        <v>2099.19</v>
      </c>
      <c r="F61" s="137">
        <f>SUM(C61:E61)</f>
        <v>6297.58</v>
      </c>
      <c r="G61" s="138">
        <f t="shared" ref="G61:G70" si="2">C61+D61</f>
        <v>4198.3900000000003</v>
      </c>
      <c r="I61" s="40">
        <f>+F61/3</f>
        <v>2099.1933333333332</v>
      </c>
      <c r="J61" s="40">
        <f>+I61*2</f>
        <v>4198.3866666666663</v>
      </c>
    </row>
    <row r="62" spans="1:10" x14ac:dyDescent="0.25">
      <c r="A62" s="31" t="s">
        <v>25</v>
      </c>
      <c r="B62" s="27">
        <v>6020</v>
      </c>
      <c r="C62" s="47">
        <v>2067</v>
      </c>
      <c r="D62" s="47">
        <v>1602</v>
      </c>
      <c r="E62" s="47">
        <v>4432.38</v>
      </c>
      <c r="F62" s="138">
        <f t="shared" ref="F62:F70" si="3">SUM(C62:E62)</f>
        <v>8101.38</v>
      </c>
      <c r="G62" s="138">
        <f t="shared" si="2"/>
        <v>3669</v>
      </c>
    </row>
    <row r="63" spans="1:10" x14ac:dyDescent="0.25">
      <c r="A63" s="31" t="s">
        <v>27</v>
      </c>
      <c r="B63" s="27">
        <v>6026</v>
      </c>
      <c r="C63" s="47">
        <v>441</v>
      </c>
      <c r="D63" s="47">
        <v>976</v>
      </c>
      <c r="E63" s="47">
        <v>320</v>
      </c>
      <c r="F63" s="138">
        <f>SUM(C63:E63)</f>
        <v>1737</v>
      </c>
      <c r="G63" s="138">
        <f t="shared" si="2"/>
        <v>1417</v>
      </c>
      <c r="J63" s="40">
        <f>+J61-G61</f>
        <v>-3.3333333340124227E-3</v>
      </c>
    </row>
    <row r="64" spans="1:10" x14ac:dyDescent="0.25">
      <c r="A64" s="31" t="s">
        <v>28</v>
      </c>
      <c r="B64" s="27">
        <v>6027</v>
      </c>
      <c r="C64" s="47">
        <v>0</v>
      </c>
      <c r="D64" s="47">
        <v>80</v>
      </c>
      <c r="E64" s="47">
        <v>0</v>
      </c>
      <c r="F64" s="138">
        <f t="shared" si="3"/>
        <v>80</v>
      </c>
      <c r="G64" s="138">
        <f t="shared" si="2"/>
        <v>80</v>
      </c>
    </row>
    <row r="65" spans="1:10" x14ac:dyDescent="0.25">
      <c r="A65" s="31" t="s">
        <v>35</v>
      </c>
      <c r="B65" s="27">
        <v>6060</v>
      </c>
      <c r="C65" s="47">
        <v>0</v>
      </c>
      <c r="D65" s="47">
        <v>0</v>
      </c>
      <c r="E65" s="47">
        <v>0</v>
      </c>
      <c r="F65" s="138">
        <f t="shared" si="3"/>
        <v>0</v>
      </c>
      <c r="G65" s="138">
        <f t="shared" si="2"/>
        <v>0</v>
      </c>
    </row>
    <row r="66" spans="1:10" x14ac:dyDescent="0.25">
      <c r="A66" s="31" t="s">
        <v>36</v>
      </c>
      <c r="B66" s="27">
        <v>6061</v>
      </c>
      <c r="C66" s="47">
        <v>180</v>
      </c>
      <c r="D66" s="47">
        <v>0</v>
      </c>
      <c r="E66" s="47">
        <v>0</v>
      </c>
      <c r="F66" s="138">
        <f t="shared" si="3"/>
        <v>180</v>
      </c>
      <c r="G66" s="47">
        <f t="shared" si="2"/>
        <v>180</v>
      </c>
      <c r="I66" s="40" t="s">
        <v>131</v>
      </c>
    </row>
    <row r="67" spans="1:10" x14ac:dyDescent="0.25">
      <c r="A67" s="31" t="s">
        <v>39</v>
      </c>
      <c r="B67" s="27">
        <v>6090</v>
      </c>
      <c r="C67" s="47">
        <v>0</v>
      </c>
      <c r="D67" s="47">
        <v>0</v>
      </c>
      <c r="E67" s="47">
        <v>0</v>
      </c>
      <c r="F67" s="138">
        <f t="shared" si="3"/>
        <v>0</v>
      </c>
      <c r="G67" s="47">
        <f t="shared" si="2"/>
        <v>0</v>
      </c>
    </row>
    <row r="68" spans="1:10" x14ac:dyDescent="0.25">
      <c r="A68" s="8" t="s">
        <v>168</v>
      </c>
      <c r="B68" s="27">
        <v>6040</v>
      </c>
      <c r="C68" s="47">
        <v>0</v>
      </c>
      <c r="D68" s="47">
        <v>0</v>
      </c>
      <c r="E68" s="47">
        <v>0</v>
      </c>
      <c r="F68" s="138">
        <f t="shared" si="3"/>
        <v>0</v>
      </c>
      <c r="G68" s="47">
        <f t="shared" si="2"/>
        <v>0</v>
      </c>
    </row>
    <row r="69" spans="1:10" x14ac:dyDescent="0.25">
      <c r="A69" s="356" t="s">
        <v>42</v>
      </c>
      <c r="B69" s="208">
        <v>6140</v>
      </c>
      <c r="C69" s="47">
        <v>61.96</v>
      </c>
      <c r="D69" s="47">
        <v>0</v>
      </c>
      <c r="E69" s="47">
        <f>79.09+739.04</f>
        <v>818.13</v>
      </c>
      <c r="F69" s="138">
        <f t="shared" si="3"/>
        <v>880.09</v>
      </c>
      <c r="G69" s="47">
        <f t="shared" si="2"/>
        <v>61.96</v>
      </c>
      <c r="J69" s="40" t="s">
        <v>131</v>
      </c>
    </row>
    <row r="70" spans="1:10" x14ac:dyDescent="0.25">
      <c r="A70" s="356" t="s">
        <v>50</v>
      </c>
      <c r="B70" s="208">
        <v>6175</v>
      </c>
      <c r="C70" s="47">
        <v>483</v>
      </c>
      <c r="D70" s="47">
        <f>+C70</f>
        <v>483</v>
      </c>
      <c r="E70" s="47">
        <v>0</v>
      </c>
      <c r="F70" s="138">
        <f t="shared" si="3"/>
        <v>966</v>
      </c>
      <c r="G70" s="47">
        <f t="shared" si="2"/>
        <v>966</v>
      </c>
      <c r="J70" s="40" t="s">
        <v>131</v>
      </c>
    </row>
    <row r="71" spans="1:10" ht="13.8" thickBot="1" x14ac:dyDescent="0.3">
      <c r="A71" s="32"/>
      <c r="B71" s="22"/>
      <c r="C71" s="352"/>
      <c r="D71" s="352"/>
      <c r="E71" s="352"/>
      <c r="F71" s="352"/>
      <c r="G71" s="352"/>
      <c r="I71" s="40">
        <f>24115.74-F72</f>
        <v>5873.6900000000023</v>
      </c>
      <c r="J71" s="40" t="s">
        <v>131</v>
      </c>
    </row>
    <row r="72" spans="1:10" ht="13.8" thickBot="1" x14ac:dyDescent="0.3">
      <c r="A72" s="4" t="s">
        <v>60</v>
      </c>
      <c r="B72" s="59"/>
      <c r="C72" s="60">
        <f>SUM(C61:C70)</f>
        <v>5228.3500000000004</v>
      </c>
      <c r="D72" s="60">
        <f>SUM(D61:D70)</f>
        <v>5344</v>
      </c>
      <c r="E72" s="60">
        <f>SUM(E61:E70)</f>
        <v>7669.7</v>
      </c>
      <c r="F72" s="60">
        <f>SUM(F61:F70)</f>
        <v>18242.05</v>
      </c>
      <c r="G72" s="60">
        <f>SUM(G61:G70)</f>
        <v>10572.349999999999</v>
      </c>
      <c r="I72" s="40">
        <f>1587.34-G72</f>
        <v>-8985.0099999999984</v>
      </c>
    </row>
    <row r="73" spans="1:10" x14ac:dyDescent="0.25">
      <c r="A73" s="18"/>
      <c r="B73" s="22"/>
      <c r="C73" s="3" t="s">
        <v>131</v>
      </c>
      <c r="D73" s="18"/>
      <c r="E73" s="22"/>
      <c r="F73" s="389" t="s">
        <v>131</v>
      </c>
      <c r="G73" s="40"/>
    </row>
    <row r="74" spans="1:10" ht="13.8" thickBot="1" x14ac:dyDescent="0.3">
      <c r="F74" s="41" t="s">
        <v>131</v>
      </c>
      <c r="G74" s="41" t="s">
        <v>131</v>
      </c>
      <c r="I74" s="40" t="s">
        <v>131</v>
      </c>
    </row>
    <row r="75" spans="1:10" ht="13.8" thickBot="1" x14ac:dyDescent="0.3">
      <c r="A75" s="61" t="s">
        <v>158</v>
      </c>
      <c r="B75" s="62"/>
      <c r="C75" s="62"/>
      <c r="D75" s="63"/>
      <c r="E75" s="139" t="s">
        <v>320</v>
      </c>
      <c r="F75" s="64"/>
      <c r="G75" s="65" t="s">
        <v>169</v>
      </c>
    </row>
    <row r="76" spans="1:10" x14ac:dyDescent="0.25">
      <c r="A76" s="41"/>
      <c r="B76" s="41"/>
      <c r="C76" s="51"/>
      <c r="D76" s="40"/>
      <c r="E76" s="40"/>
      <c r="F76" s="40"/>
      <c r="G76" s="40"/>
    </row>
    <row r="77" spans="1:10" ht="13.8" thickBot="1" x14ac:dyDescent="0.3">
      <c r="A77" s="41"/>
      <c r="B77" s="41"/>
      <c r="C77" s="51"/>
      <c r="D77" s="40"/>
      <c r="E77" s="40"/>
      <c r="F77" s="40"/>
      <c r="G77" s="40"/>
    </row>
    <row r="78" spans="1:10" ht="13.8" thickBot="1" x14ac:dyDescent="0.3">
      <c r="A78" s="66" t="s">
        <v>160</v>
      </c>
      <c r="B78" s="66" t="s">
        <v>2</v>
      </c>
      <c r="C78" s="67" t="s">
        <v>161</v>
      </c>
      <c r="D78" s="67" t="s">
        <v>163</v>
      </c>
      <c r="E78" s="67" t="s">
        <v>167</v>
      </c>
      <c r="F78" s="67" t="s">
        <v>165</v>
      </c>
      <c r="G78" s="18"/>
    </row>
    <row r="79" spans="1:10" x14ac:dyDescent="0.25">
      <c r="A79" s="44" t="s">
        <v>23</v>
      </c>
      <c r="B79" s="36">
        <v>6000</v>
      </c>
      <c r="C79" s="47">
        <f t="shared" ref="C79:C88" si="4">+C5-C61</f>
        <v>904.6099999999999</v>
      </c>
      <c r="D79" s="47">
        <f t="shared" ref="D79:D88" si="5">+E5-D61</f>
        <v>697</v>
      </c>
      <c r="E79" s="47">
        <f t="shared" ref="E79:E86" si="6">+G5-E61</f>
        <v>900.81</v>
      </c>
      <c r="F79" s="49">
        <f>SUM(C79:E79)</f>
        <v>2502.42</v>
      </c>
      <c r="G79" s="18"/>
    </row>
    <row r="80" spans="1:10" x14ac:dyDescent="0.25">
      <c r="A80" s="8" t="s">
        <v>25</v>
      </c>
      <c r="B80" s="27">
        <v>6020</v>
      </c>
      <c r="C80" s="47">
        <f t="shared" si="4"/>
        <v>-1567</v>
      </c>
      <c r="D80" s="47">
        <f t="shared" si="5"/>
        <v>-1102</v>
      </c>
      <c r="E80" s="47">
        <f t="shared" si="6"/>
        <v>-2932.38</v>
      </c>
      <c r="F80" s="49">
        <f t="shared" ref="F80:F86" si="7">SUM(C80:E80)</f>
        <v>-5601.38</v>
      </c>
      <c r="G80" s="18"/>
    </row>
    <row r="81" spans="1:7" x14ac:dyDescent="0.25">
      <c r="A81" s="8" t="s">
        <v>27</v>
      </c>
      <c r="B81" s="27">
        <v>6026</v>
      </c>
      <c r="C81" s="47">
        <f t="shared" si="4"/>
        <v>59</v>
      </c>
      <c r="D81" s="47">
        <f t="shared" si="5"/>
        <v>-476</v>
      </c>
      <c r="E81" s="47">
        <f t="shared" si="6"/>
        <v>-320</v>
      </c>
      <c r="F81" s="49">
        <f t="shared" si="7"/>
        <v>-737</v>
      </c>
      <c r="G81" s="18"/>
    </row>
    <row r="82" spans="1:7" x14ac:dyDescent="0.25">
      <c r="A82" s="8" t="s">
        <v>28</v>
      </c>
      <c r="B82" s="27">
        <v>6027</v>
      </c>
      <c r="C82" s="47">
        <f t="shared" si="4"/>
        <v>150</v>
      </c>
      <c r="D82" s="47">
        <f t="shared" si="5"/>
        <v>70</v>
      </c>
      <c r="E82" s="47">
        <f t="shared" si="6"/>
        <v>0</v>
      </c>
      <c r="F82" s="49">
        <f t="shared" si="7"/>
        <v>220</v>
      </c>
      <c r="G82" s="18"/>
    </row>
    <row r="83" spans="1:7" x14ac:dyDescent="0.25">
      <c r="A83" s="8" t="s">
        <v>35</v>
      </c>
      <c r="B83" s="27">
        <v>6060</v>
      </c>
      <c r="C83" s="47">
        <f t="shared" si="4"/>
        <v>150</v>
      </c>
      <c r="D83" s="47">
        <f t="shared" si="5"/>
        <v>150</v>
      </c>
      <c r="E83" s="47">
        <f t="shared" si="6"/>
        <v>0</v>
      </c>
      <c r="F83" s="49">
        <f t="shared" si="7"/>
        <v>300</v>
      </c>
      <c r="G83" s="18"/>
    </row>
    <row r="84" spans="1:7" x14ac:dyDescent="0.25">
      <c r="A84" s="8" t="s">
        <v>36</v>
      </c>
      <c r="B84" s="27">
        <v>6061</v>
      </c>
      <c r="C84" s="47">
        <f t="shared" si="4"/>
        <v>-30</v>
      </c>
      <c r="D84" s="47">
        <f t="shared" si="5"/>
        <v>150</v>
      </c>
      <c r="E84" s="47">
        <f t="shared" si="6"/>
        <v>0</v>
      </c>
      <c r="F84" s="49">
        <f t="shared" si="7"/>
        <v>120</v>
      </c>
      <c r="G84" s="18"/>
    </row>
    <row r="85" spans="1:7" x14ac:dyDescent="0.25">
      <c r="A85" s="8" t="s">
        <v>39</v>
      </c>
      <c r="B85" s="27">
        <v>6090</v>
      </c>
      <c r="C85" s="47">
        <f t="shared" si="4"/>
        <v>0</v>
      </c>
      <c r="D85" s="47">
        <f t="shared" si="5"/>
        <v>0</v>
      </c>
      <c r="E85" s="47">
        <f t="shared" si="6"/>
        <v>0</v>
      </c>
      <c r="F85" s="49">
        <f t="shared" si="7"/>
        <v>0</v>
      </c>
      <c r="G85" s="18"/>
    </row>
    <row r="86" spans="1:7" x14ac:dyDescent="0.25">
      <c r="A86" s="8" t="s">
        <v>168</v>
      </c>
      <c r="B86" s="27">
        <v>6040</v>
      </c>
      <c r="C86" s="47">
        <f t="shared" si="4"/>
        <v>0</v>
      </c>
      <c r="D86" s="47">
        <f t="shared" si="5"/>
        <v>0</v>
      </c>
      <c r="E86" s="47">
        <f t="shared" si="6"/>
        <v>0</v>
      </c>
      <c r="F86" s="49">
        <f t="shared" si="7"/>
        <v>0</v>
      </c>
      <c r="G86" s="18"/>
    </row>
    <row r="87" spans="1:7" x14ac:dyDescent="0.25">
      <c r="A87" s="356" t="s">
        <v>42</v>
      </c>
      <c r="B87" s="208">
        <v>6140</v>
      </c>
      <c r="C87" s="47">
        <f t="shared" si="4"/>
        <v>188.04</v>
      </c>
      <c r="D87" s="47">
        <f t="shared" si="5"/>
        <v>250</v>
      </c>
      <c r="E87" s="47">
        <f>+G13-E69</f>
        <v>-818.13</v>
      </c>
      <c r="F87" s="49">
        <f>SUM(C87:E87)</f>
        <v>-380.09000000000003</v>
      </c>
      <c r="G87" s="18"/>
    </row>
    <row r="88" spans="1:7" x14ac:dyDescent="0.25">
      <c r="A88" s="356" t="s">
        <v>50</v>
      </c>
      <c r="B88" s="208">
        <v>6175</v>
      </c>
      <c r="C88" s="47">
        <f t="shared" si="4"/>
        <v>-33</v>
      </c>
      <c r="D88" s="47">
        <f t="shared" si="5"/>
        <v>-33</v>
      </c>
      <c r="E88" s="47">
        <f>+G14-E70</f>
        <v>0</v>
      </c>
      <c r="F88" s="49">
        <f>SUM(C88:E88)</f>
        <v>-66</v>
      </c>
      <c r="G88" s="18"/>
    </row>
    <row r="89" spans="1:7" ht="13.8" thickBot="1" x14ac:dyDescent="0.3">
      <c r="A89" s="2"/>
      <c r="B89" s="22"/>
      <c r="C89" s="352"/>
      <c r="D89" s="352"/>
      <c r="E89" s="352"/>
      <c r="F89" s="354"/>
      <c r="G89" s="18"/>
    </row>
    <row r="90" spans="1:7" ht="13.8" thickBot="1" x14ac:dyDescent="0.3">
      <c r="A90" s="68" t="s">
        <v>60</v>
      </c>
      <c r="B90" s="69"/>
      <c r="C90" s="70">
        <f>SUM(C79:C88)</f>
        <v>-178.35000000000011</v>
      </c>
      <c r="D90" s="70">
        <f>SUM(D79:D88)</f>
        <v>-294</v>
      </c>
      <c r="E90" s="70">
        <f>SUM(E79:E88)</f>
        <v>-3169.7000000000003</v>
      </c>
      <c r="F90" s="70">
        <f>SUM(F79:F88)</f>
        <v>-3642.05</v>
      </c>
      <c r="G90" s="18"/>
    </row>
    <row r="91" spans="1:7" x14ac:dyDescent="0.25">
      <c r="A91" s="18"/>
      <c r="B91" s="22"/>
      <c r="C91" s="18"/>
      <c r="D91" s="18"/>
      <c r="E91" s="22"/>
      <c r="F91" s="22"/>
      <c r="G91" s="18"/>
    </row>
    <row r="92" spans="1:7" x14ac:dyDescent="0.25">
      <c r="A92" s="18"/>
      <c r="B92" s="22"/>
      <c r="C92" s="18"/>
      <c r="D92" s="18"/>
      <c r="E92" s="22"/>
      <c r="F92" s="71">
        <f>+H16-F72-F90</f>
        <v>0</v>
      </c>
      <c r="G92" s="18"/>
    </row>
    <row r="93" spans="1:7" x14ac:dyDescent="0.25">
      <c r="A93" s="18"/>
      <c r="B93" s="22"/>
      <c r="C93" s="18"/>
      <c r="D93" s="18"/>
      <c r="E93" s="22"/>
      <c r="F93" s="22"/>
      <c r="G93" s="18"/>
    </row>
    <row r="94" spans="1:7" x14ac:dyDescent="0.25">
      <c r="A94" s="18"/>
      <c r="B94" s="22"/>
      <c r="C94" s="18"/>
      <c r="D94" s="18"/>
      <c r="E94" s="22"/>
      <c r="F94" s="22"/>
      <c r="G94" s="18"/>
    </row>
    <row r="95" spans="1:7" x14ac:dyDescent="0.25">
      <c r="A95" s="18"/>
      <c r="B95" s="22"/>
      <c r="C95" s="18"/>
      <c r="D95" s="18"/>
      <c r="E95" s="22"/>
      <c r="F95" s="22"/>
      <c r="G95" s="18"/>
    </row>
    <row r="96" spans="1:7" x14ac:dyDescent="0.25">
      <c r="A96" s="18"/>
      <c r="B96" s="22"/>
      <c r="C96" s="18"/>
      <c r="D96" s="18"/>
      <c r="E96" s="22"/>
      <c r="F96" s="22"/>
      <c r="G96" s="18"/>
    </row>
    <row r="97" spans="1:7" x14ac:dyDescent="0.25">
      <c r="A97" s="18"/>
      <c r="B97" s="22"/>
      <c r="C97" s="18"/>
      <c r="D97" s="18"/>
      <c r="E97" s="22"/>
      <c r="F97" s="22"/>
      <c r="G97" s="18"/>
    </row>
    <row r="98" spans="1:7" x14ac:dyDescent="0.25">
      <c r="A98" s="18"/>
      <c r="B98" s="22"/>
      <c r="C98" s="18"/>
      <c r="D98" s="18"/>
      <c r="E98" s="22"/>
      <c r="F98" s="22"/>
      <c r="G98" s="18"/>
    </row>
    <row r="99" spans="1:7" x14ac:dyDescent="0.25">
      <c r="A99" s="18"/>
      <c r="B99" s="71"/>
      <c r="C99" s="18"/>
      <c r="D99" s="18"/>
      <c r="E99" s="22"/>
      <c r="F99" s="22"/>
      <c r="G99" s="18"/>
    </row>
    <row r="100" spans="1:7" x14ac:dyDescent="0.25">
      <c r="A100" s="18"/>
      <c r="B100" s="22"/>
      <c r="C100" s="18"/>
      <c r="D100" s="18"/>
      <c r="E100" s="22"/>
      <c r="F100" s="22"/>
      <c r="G100" s="18"/>
    </row>
    <row r="101" spans="1:7" x14ac:dyDescent="0.25">
      <c r="A101" s="18"/>
      <c r="B101" s="22"/>
      <c r="C101" s="18"/>
      <c r="D101" s="18"/>
      <c r="E101" s="22"/>
      <c r="F101" s="22"/>
      <c r="G101" s="18"/>
    </row>
    <row r="102" spans="1:7" x14ac:dyDescent="0.25">
      <c r="A102" s="18"/>
      <c r="B102" s="22"/>
      <c r="C102" s="18"/>
      <c r="D102" s="18"/>
      <c r="E102" s="22"/>
      <c r="F102" s="22"/>
      <c r="G102" s="18"/>
    </row>
    <row r="103" spans="1:7" x14ac:dyDescent="0.25">
      <c r="A103" s="18"/>
      <c r="B103" s="22"/>
      <c r="C103" s="18"/>
      <c r="D103" s="18"/>
      <c r="E103" s="22"/>
      <c r="F103" s="22"/>
      <c r="G103" s="18"/>
    </row>
    <row r="104" spans="1:7" x14ac:dyDescent="0.25">
      <c r="A104" s="18"/>
      <c r="B104" s="22"/>
      <c r="C104" s="18"/>
      <c r="D104" s="18"/>
      <c r="E104" s="22"/>
      <c r="F104" s="22"/>
      <c r="G104" s="18"/>
    </row>
  </sheetData>
  <protectedRanges>
    <protectedRange password="C753" sqref="A71:B71 A60:B68 F61:G71 A72:G72 C60:E60 C62:E71" name="Block cost actual_1"/>
    <protectedRange password="C753" sqref="C61:E61" name="Block cost actual_1_1"/>
  </protectedRanges>
  <conditionalFormatting sqref="I5:I14">
    <cfRule type="cellIs" dxfId="3" priority="1" stopIfTrue="1" operator="lessThan">
      <formula>0</formula>
    </cfRule>
  </conditionalFormatting>
  <pageMargins left="0.35" right="3.67" top="1" bottom="0.52" header="0.5" footer="0.28000000000000003"/>
  <pageSetup paperSize="9" scale="68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Chart 16-17</vt:lpstr>
      <vt:lpstr>Mgt account 18-19</vt:lpstr>
      <vt:lpstr>Budget 2025-26</vt:lpstr>
      <vt:lpstr>Notes to AC 16-17.</vt:lpstr>
      <vt:lpstr>Journal 16-17</vt:lpstr>
      <vt:lpstr>Notes to AC 15-16</vt:lpstr>
      <vt:lpstr>Chart 15-16</vt:lpstr>
      <vt:lpstr>Mgt account 15-16</vt:lpstr>
      <vt:lpstr>Block cost 15-16</vt:lpstr>
      <vt:lpstr>Mgt ac (4 Allison SC) 15-16</vt:lpstr>
      <vt:lpstr>Journal 15-16</vt:lpstr>
      <vt:lpstr>'Block cost 15-16'!Print_Area</vt:lpstr>
      <vt:lpstr>'Budget 2025-26'!Print_Area</vt:lpstr>
      <vt:lpstr>'Chart 15-16'!Print_Area</vt:lpstr>
      <vt:lpstr>'Chart 16-17'!Print_Area</vt:lpstr>
      <vt:lpstr>'Mgt ac (4 Allison SC) 15-16'!Print_Area</vt:lpstr>
      <vt:lpstr>'Mgt account 15-16'!Print_Area</vt:lpstr>
      <vt:lpstr>'Notes to AC 15-16'!Print_Area</vt:lpstr>
      <vt:lpstr>'Notes to AC 16-17.'!Print_Area</vt:lpstr>
    </vt:vector>
  </TitlesOfParts>
  <Company>Goulden House Cooperative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Goulden House</dc:creator>
  <cp:lastModifiedBy>Totteridge House - Kamila</cp:lastModifiedBy>
  <cp:lastPrinted>2025-04-14T16:44:40Z</cp:lastPrinted>
  <dcterms:created xsi:type="dcterms:W3CDTF">2005-04-21T15:01:19Z</dcterms:created>
  <dcterms:modified xsi:type="dcterms:W3CDTF">2025-05-01T12:27:02Z</dcterms:modified>
</cp:coreProperties>
</file>